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610" windowHeight="11640" activeTab="0"/>
  </bookViews>
  <sheets>
    <sheet name="Sowjet-U. ab 1919" sheetId="1" r:id="rId1"/>
  </sheets>
  <definedNames>
    <definedName name="_xlnm.Print_Area" localSheetId="0">'Sowjet-U. ab 1919'!$B$1:$AQ$246</definedName>
  </definedNames>
  <calcPr fullCalcOnLoad="1"/>
</workbook>
</file>

<file path=xl/comments1.xml><?xml version="1.0" encoding="utf-8"?>
<comments xmlns="http://schemas.openxmlformats.org/spreadsheetml/2006/main">
  <authors>
    <author>Hans Lipp</author>
  </authors>
  <commentList>
    <comment ref="AI236" authorId="0">
      <text>
        <r>
          <rPr>
            <sz val="10"/>
            <rFont val="Tahoma"/>
            <family val="0"/>
          </rPr>
          <t xml:space="preserve">Jan.-April
(ot.bron.masch.IIS.216)
</t>
        </r>
      </text>
    </comment>
    <comment ref="AI235" authorId="0">
      <text>
        <r>
          <rPr>
            <sz val="10"/>
            <rFont val="Tahoma"/>
            <family val="0"/>
          </rPr>
          <t xml:space="preserve">Jan.-April
(ot.bron.masch.IIS.216)
</t>
        </r>
      </text>
    </comment>
    <comment ref="AE231" authorId="0">
      <text>
        <r>
          <rPr>
            <sz val="10"/>
            <rFont val="Tahoma"/>
            <family val="0"/>
          </rPr>
          <t>Ot.bron.masch:930</t>
        </r>
      </text>
    </comment>
    <comment ref="B216" authorId="0">
      <text>
        <r>
          <rPr>
            <sz val="10"/>
            <rFont val="Tahoma"/>
            <family val="0"/>
          </rPr>
          <t>"artilleriskij"</t>
        </r>
      </text>
    </comment>
    <comment ref="B208" authorId="0">
      <text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ele-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 Fernlenkpanzer</t>
        </r>
      </text>
    </comment>
    <comment ref="F198" authorId="0">
      <text>
        <r>
          <rPr>
            <sz val="10"/>
            <rFont val="Tahoma"/>
            <family val="0"/>
          </rPr>
          <t>2 Motoren à 3.487 ccm</t>
        </r>
      </text>
    </comment>
    <comment ref="F197" authorId="0">
      <text>
        <r>
          <rPr>
            <sz val="10"/>
            <rFont val="Tahoma"/>
            <family val="0"/>
          </rPr>
          <t>2 Motoren à 3.487 ccm</t>
        </r>
      </text>
    </comment>
    <comment ref="F196" authorId="0">
      <text>
        <r>
          <rPr>
            <sz val="10"/>
            <rFont val="Tahoma"/>
            <family val="0"/>
          </rPr>
          <t>2 Motoren à 3.487 ccm</t>
        </r>
      </text>
    </comment>
    <comment ref="F195" authorId="0">
      <text>
        <r>
          <rPr>
            <sz val="10"/>
            <rFont val="Tahoma"/>
            <family val="0"/>
          </rPr>
          <t>2 Motoren à 3.487 ccm</t>
        </r>
      </text>
    </comment>
    <comment ref="AH146" authorId="0">
      <text>
        <r>
          <rPr>
            <sz val="10"/>
            <rFont val="Tahoma"/>
            <family val="0"/>
          </rPr>
          <t>auf Fahrgestell des T-34</t>
        </r>
      </text>
    </comment>
    <comment ref="F146" authorId="0">
      <text>
        <r>
          <rPr>
            <sz val="10"/>
            <rFont val="Tahoma"/>
            <family val="0"/>
          </rPr>
          <t>160 x 190 mm BMW-VI
auch: 6Z. 19.043 ccm Diesel
12 Z., 38.886 ccm Diesel</t>
        </r>
      </text>
    </comment>
    <comment ref="B144" authorId="0">
      <text>
        <r>
          <rPr>
            <sz val="10"/>
            <rFont val="Tahoma"/>
            <family val="0"/>
          </rPr>
          <t>s.ArtSchlepper, 
Tle. d.Pz. T-24</t>
        </r>
      </text>
    </comment>
    <comment ref="B141" authorId="0">
      <text>
        <r>
          <rPr>
            <b/>
            <u val="single"/>
            <sz val="10"/>
            <rFont val="Tahoma"/>
            <family val="2"/>
          </rPr>
          <t>J</t>
        </r>
        <r>
          <rPr>
            <sz val="10"/>
            <rFont val="Tahoma"/>
            <family val="0"/>
          </rPr>
          <t xml:space="preserve">arosllawski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wtomobilnij
</t>
        </r>
        <r>
          <rPr>
            <sz val="10"/>
            <rFont val="Tahoma"/>
            <family val="2"/>
          </rPr>
          <t>Z</t>
        </r>
        <r>
          <rPr>
            <sz val="10"/>
            <rFont val="Tahoma"/>
            <family val="0"/>
          </rPr>
          <t>awod</t>
        </r>
      </text>
    </comment>
    <comment ref="B138" authorId="0">
      <text>
        <r>
          <rPr>
            <sz val="10"/>
            <rFont val="Tahoma"/>
            <family val="0"/>
          </rPr>
          <t xml:space="preserve">ArtSchlepper 2 to gepz.
</t>
        </r>
      </text>
    </comment>
    <comment ref="B139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talingradski
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 xml:space="preserve">raktor
</t>
        </r>
        <r>
          <rPr>
            <b/>
            <u val="single"/>
            <sz val="10"/>
            <rFont val="Tahoma"/>
            <family val="2"/>
          </rPr>
          <t>Z</t>
        </r>
        <r>
          <rPr>
            <sz val="10"/>
            <rFont val="Tahoma"/>
            <family val="0"/>
          </rPr>
          <t>avod 
NATI-2TB</t>
        </r>
      </text>
    </comment>
    <comment ref="AA130" authorId="0">
      <text>
        <r>
          <rPr>
            <sz val="10"/>
            <rFont val="Tahoma"/>
            <family val="0"/>
          </rPr>
          <t>ab 38 Großserienfertigung (Vollert S.194)</t>
        </r>
      </text>
    </comment>
    <comment ref="B145" authorId="0">
      <text>
        <r>
          <rPr>
            <sz val="10"/>
            <rFont val="Tahoma"/>
            <family val="0"/>
          </rPr>
          <t>schnelle Ausführung des Stalinez 65, technisch anfällig, S=Skorij</t>
        </r>
      </text>
    </comment>
    <comment ref="F127" authorId="0">
      <text>
        <r>
          <rPr>
            <sz val="10"/>
            <rFont val="Tahoma"/>
            <family val="0"/>
          </rPr>
          <t>145 x 205 mm 
M 17</t>
        </r>
      </text>
    </comment>
    <comment ref="B127" authorId="0">
      <text>
        <r>
          <rPr>
            <sz val="10"/>
            <rFont val="Tahoma"/>
            <family val="0"/>
          </rPr>
          <t>verbess. S 60</t>
        </r>
      </text>
    </comment>
    <comment ref="AA95" authorId="0">
      <text>
        <r>
          <rPr>
            <sz val="10"/>
            <rFont val="Tahoma"/>
            <family val="0"/>
          </rPr>
          <t>Schug. S.83: 2.377</t>
        </r>
      </text>
    </comment>
    <comment ref="Z95" authorId="0">
      <text>
        <r>
          <rPr>
            <sz val="10"/>
            <rFont val="Tahoma"/>
            <family val="0"/>
          </rPr>
          <t>Schug S.83: 2730</t>
        </r>
      </text>
    </comment>
    <comment ref="S88" authorId="0">
      <text>
        <r>
          <rPr>
            <sz val="10"/>
            <rFont val="Tahoma"/>
            <family val="0"/>
          </rPr>
          <t>Fabrik Jaroslawl:
1930: 839 LKW-Chassis (S.70)</t>
        </r>
      </text>
    </comment>
    <comment ref="S87" authorId="0">
      <text>
        <r>
          <rPr>
            <sz val="10"/>
            <rFont val="Tahoma"/>
            <family val="0"/>
          </rPr>
          <t>Keller, Ost Minus West = 0, S.250: 711 in 1930</t>
        </r>
      </text>
    </comment>
    <comment ref="F87" authorId="0">
      <text>
        <r>
          <rPr>
            <sz val="10"/>
            <rFont val="Tahoma"/>
            <family val="0"/>
          </rPr>
          <t>Daimler-Benz
100 x 150 mm</t>
        </r>
      </text>
    </comment>
    <comment ref="N86" authorId="0">
      <text>
        <r>
          <rPr>
            <sz val="10"/>
            <rFont val="Tahoma"/>
            <family val="0"/>
          </rPr>
          <t>Schugurow, Awtomobili Rossii S.62: die ersten 2 fertig 7.11.25</t>
        </r>
      </text>
    </comment>
    <comment ref="B86" authorId="0">
      <text>
        <r>
          <rPr>
            <sz val="10"/>
            <rFont val="Tahoma"/>
            <family val="0"/>
          </rPr>
          <t xml:space="preserve">Jaroslawl
</t>
        </r>
      </text>
    </comment>
    <comment ref="B61" authorId="0">
      <text>
        <r>
          <rPr>
            <sz val="10"/>
            <rFont val="Tahoma"/>
            <family val="0"/>
          </rPr>
          <t xml:space="preserve">umbenannt 1.10.31 in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mena 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talina</t>
        </r>
      </text>
    </comment>
    <comment ref="F60" authorId="0">
      <text>
        <r>
          <rPr>
            <sz val="10"/>
            <rFont val="Tahoma"/>
            <family val="0"/>
          </rPr>
          <t>95,25 x 114,3 mm;
3,75 x 4,5" (Herc.DJXC?)</t>
        </r>
      </text>
    </comment>
    <comment ref="B60" authorId="0">
      <text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wtomobilnoje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 xml:space="preserve">oskowskoje
</t>
        </r>
        <r>
          <rPr>
            <b/>
            <u val="single"/>
            <sz val="10"/>
            <rFont val="Tahoma"/>
            <family val="2"/>
          </rPr>
          <t>O</t>
        </r>
        <r>
          <rPr>
            <sz val="10"/>
            <rFont val="Tahoma"/>
            <family val="0"/>
          </rPr>
          <t>bschtschestwo</t>
        </r>
      </text>
    </comment>
    <comment ref="S59" authorId="0">
      <text>
        <r>
          <rPr>
            <sz val="10"/>
            <rFont val="Tahoma"/>
            <family val="0"/>
          </rPr>
          <t>Schugurow, Awtomobili Rossii S.65: 3.227 Ex.
Wiki.ru: 2.331 o.</t>
        </r>
        <r>
          <rPr>
            <u val="single"/>
            <sz val="10"/>
            <rFont val="Tahoma"/>
            <family val="2"/>
          </rPr>
          <t>2.340</t>
        </r>
        <r>
          <rPr>
            <sz val="10"/>
            <rFont val="Tahoma"/>
            <family val="0"/>
          </rPr>
          <t xml:space="preserve"> Ex.
Daschko: 2.219 Ex.</t>
        </r>
      </text>
    </comment>
    <comment ref="R59" authorId="0">
      <text>
        <r>
          <rPr>
            <sz val="10"/>
            <rFont val="Tahoma"/>
            <family val="0"/>
          </rPr>
          <t xml:space="preserve">Schugurow, Awtomobili Rossii S.65: 1.293 Ex.,
wiki.ru: </t>
        </r>
        <r>
          <rPr>
            <u val="single"/>
            <sz val="10"/>
            <rFont val="Tahoma"/>
            <family val="2"/>
          </rPr>
          <t>1.100</t>
        </r>
        <r>
          <rPr>
            <sz val="10"/>
            <rFont val="Tahoma"/>
            <family val="0"/>
          </rPr>
          <t>, 1293 o.1.303 Ex.
Daschko: 1.146 Ex.</t>
        </r>
      </text>
    </comment>
    <comment ref="Q59" authorId="0">
      <text>
        <r>
          <rPr>
            <sz val="10"/>
            <rFont val="Tahoma"/>
            <family val="0"/>
          </rPr>
          <t xml:space="preserve">Schugurow, Awtomobili Rossii S.65: 692 Ex.
Wiki.ru: </t>
        </r>
        <r>
          <rPr>
            <u val="single"/>
            <sz val="10"/>
            <rFont val="Tahoma"/>
            <family val="2"/>
          </rPr>
          <t>682</t>
        </r>
        <r>
          <rPr>
            <sz val="10"/>
            <rFont val="Tahoma"/>
            <family val="0"/>
          </rPr>
          <t xml:space="preserve"> o. 698 Ex.
Daschko: 549 Ex.</t>
        </r>
      </text>
    </comment>
    <comment ref="P59" authorId="0">
      <text>
        <r>
          <rPr>
            <sz val="10"/>
            <rFont val="Tahoma"/>
            <family val="0"/>
          </rPr>
          <t>Schugurow, Awtomobili Rossii S.65: 407, dabei 20 Stabsfahrzeuge (=PKW-Aufbau)
wiki.ru.</t>
        </r>
        <r>
          <rPr>
            <u val="single"/>
            <sz val="10"/>
            <rFont val="Tahoma"/>
            <family val="2"/>
          </rPr>
          <t>401</t>
        </r>
        <r>
          <rPr>
            <sz val="10"/>
            <rFont val="Tahoma"/>
            <family val="0"/>
          </rPr>
          <t>,407 o.580 Ex.
Daschko: 383 Ex.</t>
        </r>
      </text>
    </comment>
    <comment ref="O59" authorId="0">
      <text>
        <r>
          <rPr>
            <sz val="10"/>
            <rFont val="Tahoma"/>
            <family val="0"/>
          </rPr>
          <t>Schugurow, Awtomobili Rossii S.61: 342 Ex.,
Zuck: 275 Ex.
Daschko: 313 Ex.
Wiki.ru: 342, 321 o</t>
        </r>
        <r>
          <rPr>
            <u val="single"/>
            <sz val="10"/>
            <rFont val="Tahoma"/>
            <family val="2"/>
          </rPr>
          <t>.425</t>
        </r>
      </text>
    </comment>
    <comment ref="N59" authorId="0">
      <text>
        <r>
          <rPr>
            <sz val="10"/>
            <rFont val="Tahoma"/>
            <family val="0"/>
          </rPr>
          <t>Schug. S.61, wiki.ru: 113 Ex.
Zuck.24: 90 Ex.
Daschko: 115 Ex.</t>
        </r>
      </text>
    </comment>
    <comment ref="M59" authorId="0">
      <text>
        <r>
          <rPr>
            <sz val="10"/>
            <rFont val="Tahoma"/>
            <family val="0"/>
          </rPr>
          <t>ab 1.11.24</t>
        </r>
      </text>
    </comment>
    <comment ref="X38" authorId="0">
      <text>
        <r>
          <rPr>
            <sz val="10"/>
            <rFont val="Tahoma"/>
            <family val="0"/>
          </rPr>
          <t>Schugurow S.75:
1935: 44.700 LKW aus Gorki</t>
        </r>
      </text>
    </comment>
    <comment ref="B38" authorId="0">
      <text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 xml:space="preserve">orkij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awod</t>
        </r>
      </text>
    </comment>
    <comment ref="X10" authorId="0">
      <text>
        <r>
          <rPr>
            <sz val="10"/>
            <rFont val="Tahoma"/>
            <family val="0"/>
          </rPr>
          <t>Schugurow S.75:
18.900 PKW</t>
        </r>
      </text>
    </comment>
    <comment ref="U10" authorId="0">
      <text>
        <r>
          <rPr>
            <sz val="10"/>
            <rFont val="Tahoma"/>
            <family val="0"/>
          </rPr>
          <t>1.Ex. 8.12.32 (Schug. S.84), 
insges.34 Ex. (AQ 43/4 S.69)</t>
        </r>
      </text>
    </comment>
    <comment ref="G7" authorId="0">
      <text>
        <r>
          <rPr>
            <sz val="10"/>
            <rFont val="Tahoma"/>
            <family val="0"/>
          </rPr>
          <t>18,5 PS, 
ab 1929: 22 PS</t>
        </r>
      </text>
    </comment>
    <comment ref="F5" authorId="0">
      <text>
        <r>
          <rPr>
            <sz val="10"/>
            <rFont val="Tahoma"/>
            <family val="2"/>
          </rPr>
          <t>105 x 130 mm</t>
        </r>
      </text>
    </comment>
    <comment ref="AE63" authorId="0">
      <text>
        <r>
          <rPr>
            <sz val="10"/>
            <rFont val="Tahoma"/>
            <family val="0"/>
          </rPr>
          <t>Herbst 41: Moskauer Fabrik evakuiert nach Osten</t>
        </r>
      </text>
    </comment>
    <comment ref="G84" authorId="0">
      <text>
        <r>
          <rPr>
            <sz val="10"/>
            <rFont val="Tahoma"/>
            <family val="0"/>
          </rPr>
          <t xml:space="preserve">auch 85 PS, gleicher Hubr. (Schugurow S.166, 147)
</t>
        </r>
      </text>
    </comment>
    <comment ref="AF84" authorId="0">
      <text>
        <r>
          <rPr>
            <sz val="10"/>
            <rFont val="Tahoma"/>
            <family val="0"/>
          </rPr>
          <t>ab 9.42 (Schug.S.166)</t>
        </r>
      </text>
    </comment>
    <comment ref="F85" authorId="0">
      <text>
        <r>
          <rPr>
            <sz val="10"/>
            <rFont val="Tahoma"/>
            <family val="0"/>
          </rPr>
          <t>2 Motoren à 
5.562 ccm u. 85 PS</t>
        </r>
      </text>
    </comment>
    <comment ref="F141" authorId="0">
      <text>
        <r>
          <rPr>
            <sz val="10"/>
            <rFont val="Tahoma"/>
            <family val="0"/>
          </rPr>
          <t>2 Motoren GAS-11
82 x 110 mm</t>
        </r>
      </text>
    </comment>
    <comment ref="AG142" authorId="0">
      <text>
        <r>
          <rPr>
            <sz val="10"/>
            <rFont val="Tahoma"/>
            <family val="0"/>
          </rPr>
          <t>ab 8.43.
a.A:285</t>
        </r>
      </text>
    </comment>
    <comment ref="AG141" authorId="0">
      <text>
        <r>
          <rPr>
            <sz val="10"/>
            <rFont val="Tahoma"/>
            <family val="0"/>
          </rPr>
          <t>Prod. gestoppt weg. Bombardierung Gorki,
4./5.6.43</t>
        </r>
      </text>
    </comment>
    <comment ref="F142" authorId="0">
      <text>
        <r>
          <rPr>
            <sz val="10"/>
            <rFont val="Tahoma"/>
            <family val="0"/>
          </rPr>
          <t>GMC 2Takt Diesel 
Typ 4-71</t>
        </r>
      </text>
    </comment>
    <comment ref="AE9" authorId="0">
      <text>
        <r>
          <rPr>
            <sz val="10"/>
            <rFont val="Tahoma"/>
            <family val="0"/>
          </rPr>
          <t xml:space="preserve">einige mit Kübel-Aufbau, Schugurow S.170
</t>
        </r>
      </text>
    </comment>
    <comment ref="F211" authorId="0">
      <text>
        <r>
          <rPr>
            <sz val="10"/>
            <rFont val="Tahoma"/>
            <family val="0"/>
          </rPr>
          <t>127 x 177,8 mm
Liberty</t>
        </r>
      </text>
    </comment>
    <comment ref="F214" authorId="0">
      <text>
        <r>
          <rPr>
            <sz val="10"/>
            <rFont val="Tahoma"/>
            <family val="0"/>
          </rPr>
          <t>160 x 190 mm
M-17T</t>
        </r>
      </text>
    </comment>
    <comment ref="F63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59" authorId="0">
      <text>
        <r>
          <rPr>
            <sz val="10"/>
            <rFont val="Tahoma"/>
            <family val="0"/>
          </rPr>
          <t>100 x 140 mm</t>
        </r>
      </text>
    </comment>
    <comment ref="F88" authorId="0">
      <text>
        <r>
          <rPr>
            <sz val="10"/>
            <rFont val="Tahoma"/>
            <family val="0"/>
          </rPr>
          <t>111 x 120,6 mm
(4,375 x 4,75")
Hercules XYC</t>
        </r>
      </text>
    </comment>
    <comment ref="F12" authorId="0">
      <text>
        <r>
          <rPr>
            <sz val="10"/>
            <rFont val="Tahoma"/>
            <family val="0"/>
          </rPr>
          <t>98,4 x 108 mm</t>
        </r>
      </text>
    </comment>
    <comment ref="F10" authorId="0">
      <text>
        <r>
          <rPr>
            <sz val="10"/>
            <rFont val="Tahoma"/>
            <family val="0"/>
          </rPr>
          <t>98,4 x 108 mm</t>
        </r>
      </text>
    </comment>
    <comment ref="F38" authorId="0">
      <text>
        <r>
          <rPr>
            <sz val="10"/>
            <rFont val="Tahoma"/>
            <family val="0"/>
          </rPr>
          <t>98,4 x 108 mm</t>
        </r>
      </text>
    </comment>
    <comment ref="F138" authorId="0">
      <text>
        <r>
          <rPr>
            <sz val="10"/>
            <rFont val="Tahoma"/>
            <family val="0"/>
          </rPr>
          <t>98 x 108 mm</t>
        </r>
      </text>
    </comment>
    <comment ref="F143" authorId="0">
      <text>
        <r>
          <rPr>
            <sz val="10"/>
            <rFont val="Tahoma"/>
            <family val="0"/>
          </rPr>
          <t>82 x 110 mm</t>
        </r>
      </text>
    </comment>
    <comment ref="F190" authorId="0">
      <text>
        <r>
          <rPr>
            <sz val="10"/>
            <rFont val="Tahoma"/>
            <family val="0"/>
          </rPr>
          <t>82 x 110 mm</t>
        </r>
      </text>
    </comment>
    <comment ref="F191" authorId="0">
      <text>
        <r>
          <rPr>
            <sz val="10"/>
            <rFont val="Tahoma"/>
            <family val="0"/>
          </rPr>
          <t>82 x 110 mm</t>
        </r>
      </text>
    </comment>
    <comment ref="F158" authorId="0">
      <text>
        <r>
          <rPr>
            <sz val="10"/>
            <rFont val="Tahoma"/>
            <family val="0"/>
          </rPr>
          <t>98,4 x 108 mm</t>
        </r>
      </text>
    </comment>
    <comment ref="F169" authorId="0">
      <text>
        <r>
          <rPr>
            <sz val="10"/>
            <rFont val="Tahoma"/>
            <family val="0"/>
          </rPr>
          <t>98,4 x 108 mm</t>
        </r>
      </text>
    </comment>
    <comment ref="F160" authorId="0">
      <text>
        <r>
          <rPr>
            <sz val="10"/>
            <rFont val="Tahoma"/>
            <family val="0"/>
          </rPr>
          <t>98,4 x 108 mm</t>
        </r>
      </text>
    </comment>
    <comment ref="F170" authorId="0">
      <text>
        <r>
          <rPr>
            <sz val="10"/>
            <rFont val="Tahoma"/>
            <family val="0"/>
          </rPr>
          <t>98,4 x 108 mm</t>
        </r>
      </text>
    </comment>
    <comment ref="F171" authorId="0">
      <text>
        <r>
          <rPr>
            <sz val="10"/>
            <rFont val="Tahoma"/>
            <family val="0"/>
          </rPr>
          <t>98,4 x 108 mm</t>
        </r>
      </text>
    </comment>
    <comment ref="F172" authorId="0">
      <text>
        <r>
          <rPr>
            <sz val="10"/>
            <rFont val="Tahoma"/>
            <family val="0"/>
          </rPr>
          <t>98,4 x 108 mm</t>
        </r>
      </text>
    </comment>
    <comment ref="F161" authorId="0">
      <text>
        <r>
          <rPr>
            <sz val="10"/>
            <rFont val="Tahoma"/>
            <family val="0"/>
          </rPr>
          <t>98 x 108 mm</t>
        </r>
      </text>
    </comment>
    <comment ref="F163" authorId="0">
      <text>
        <r>
          <rPr>
            <sz val="10"/>
            <rFont val="Tahoma"/>
            <family val="0"/>
          </rPr>
          <t>98 x 108 mm</t>
        </r>
      </text>
    </comment>
    <comment ref="F174" authorId="0">
      <text>
        <r>
          <rPr>
            <sz val="10"/>
            <rFont val="Tahoma"/>
            <family val="0"/>
          </rPr>
          <t>98 x 108 mm</t>
        </r>
      </text>
    </comment>
    <comment ref="F189" authorId="0">
      <text>
        <r>
          <rPr>
            <sz val="10"/>
            <rFont val="Tahoma"/>
            <family val="0"/>
          </rPr>
          <t>98 x 108 mm</t>
        </r>
      </text>
    </comment>
    <comment ref="F182" authorId="0">
      <text>
        <r>
          <rPr>
            <sz val="10"/>
            <rFont val="Tahoma"/>
            <family val="0"/>
          </rPr>
          <t>98,4 x 108 mm</t>
        </r>
      </text>
    </comment>
    <comment ref="F202" authorId="0">
      <text>
        <r>
          <rPr>
            <sz val="10"/>
            <rFont val="Tahoma"/>
            <family val="0"/>
          </rPr>
          <t>120 x 146,5 mm</t>
        </r>
      </text>
    </comment>
    <comment ref="F219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F209" authorId="0">
      <text>
        <r>
          <rPr>
            <sz val="10"/>
            <rFont val="Tahoma"/>
            <family val="0"/>
          </rPr>
          <t>150 x 180 mm
(od.150x186,7mm?)</t>
        </r>
      </text>
    </comment>
    <comment ref="AD2" authorId="0">
      <text>
        <r>
          <rPr>
            <sz val="10"/>
            <rFont val="Tahoma"/>
            <family val="0"/>
          </rPr>
          <t>bis 21.6.1941</t>
        </r>
      </text>
    </comment>
    <comment ref="AE2" authorId="0">
      <text>
        <r>
          <rPr>
            <b/>
            <sz val="10"/>
            <rFont val="Tahoma"/>
            <family val="0"/>
          </rPr>
          <t>ab 22.6.41</t>
        </r>
      </text>
    </comment>
    <comment ref="F125" authorId="0">
      <text>
        <r>
          <rPr>
            <sz val="10"/>
            <rFont val="Tahoma"/>
            <family val="0"/>
          </rPr>
          <t>165 x 216 mm
(6,5 x 8,5")</t>
        </r>
      </text>
    </comment>
    <comment ref="F116" authorId="0">
      <text>
        <r>
          <rPr>
            <sz val="10"/>
            <rFont val="Tahoma"/>
            <family val="0"/>
          </rPr>
          <t>115 x 152 mm</t>
        </r>
      </text>
    </comment>
    <comment ref="AM119" authorId="0">
      <text>
        <r>
          <rPr>
            <sz val="10"/>
            <rFont val="Tahoma"/>
            <family val="0"/>
          </rPr>
          <t xml:space="preserve">- www.autogallery.org.ru/m/traktora
- Vollert, J.: Tygatschi, Erlangen 2005
- Dupouy, Alain: les tracteurs et engins speciaux chenilles sovietiques, Grenoble o.J. (ca.1985)
</t>
        </r>
      </text>
    </comment>
    <comment ref="W144" authorId="0">
      <text>
        <r>
          <rPr>
            <sz val="10"/>
            <rFont val="Tahoma"/>
            <family val="0"/>
          </rPr>
          <t>Vollert, Tygatschi S.72: 50 Ex.</t>
        </r>
      </text>
    </comment>
    <comment ref="Y137" authorId="0">
      <text>
        <r>
          <rPr>
            <sz val="10"/>
            <rFont val="Tahoma"/>
            <family val="0"/>
          </rPr>
          <t>50 Ex.auf Basis T-37
50 "PionierB-1,B-2",
beide unbrauchbar</t>
        </r>
      </text>
    </comment>
    <comment ref="F137" authorId="0">
      <text>
        <r>
          <rPr>
            <sz val="10"/>
            <rFont val="Tahoma"/>
            <family val="0"/>
          </rPr>
          <t>98,4 x 108 mm</t>
        </r>
      </text>
    </comment>
    <comment ref="Z138" authorId="0">
      <text>
        <r>
          <rPr>
            <sz val="10"/>
            <rFont val="Tahoma"/>
            <family val="0"/>
          </rPr>
          <t>ab Ende 37 (Vollert)
dabei 40 bei GAS geb.</t>
        </r>
      </text>
    </comment>
    <comment ref="AE138" authorId="0">
      <text>
        <r>
          <rPr>
            <sz val="10"/>
            <rFont val="Tahoma"/>
            <family val="0"/>
          </rPr>
          <t>bis 7.41</t>
        </r>
      </text>
    </comment>
    <comment ref="AA138" authorId="0">
      <text>
        <r>
          <rPr>
            <sz val="10"/>
            <rFont val="Tahoma"/>
            <family val="0"/>
          </rPr>
          <t>"nur geringe Stückzhl" (Vollert S.89)</t>
        </r>
      </text>
    </comment>
    <comment ref="B130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talingrad/</t>
        </r>
        <r>
          <rPr>
            <b/>
            <u val="single"/>
            <sz val="10"/>
            <rFont val="Tahoma"/>
            <family val="2"/>
          </rPr>
          <t>Ch</t>
        </r>
        <r>
          <rPr>
            <sz val="10"/>
            <rFont val="Tahoma"/>
            <family val="0"/>
          </rPr>
          <t xml:space="preserve">arkow
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 xml:space="preserve">raktor
</t>
        </r>
        <r>
          <rPr>
            <b/>
            <u val="single"/>
            <sz val="10"/>
            <rFont val="Tahoma"/>
            <family val="2"/>
          </rPr>
          <t>Z</t>
        </r>
        <r>
          <rPr>
            <sz val="10"/>
            <rFont val="Tahoma"/>
            <family val="0"/>
          </rPr>
          <t>avod NATI 1A</t>
        </r>
      </text>
    </comment>
    <comment ref="X130" authorId="0">
      <text>
        <r>
          <rPr>
            <sz val="10"/>
            <rFont val="Tahoma"/>
            <family val="0"/>
          </rPr>
          <t>Prototypen</t>
        </r>
      </text>
    </comment>
    <comment ref="Z139" authorId="0">
      <text>
        <r>
          <rPr>
            <sz val="10"/>
            <rFont val="Tahoma"/>
            <family val="0"/>
          </rPr>
          <t>Vollert S.220: 135</t>
        </r>
      </text>
    </comment>
    <comment ref="X139" authorId="0">
      <text>
        <r>
          <rPr>
            <sz val="10"/>
            <rFont val="Tahoma"/>
            <family val="0"/>
          </rPr>
          <t>Prototypen</t>
        </r>
      </text>
    </comment>
    <comment ref="B142" authorId="0">
      <text>
        <r>
          <rPr>
            <b/>
            <u val="single"/>
            <sz val="10"/>
            <rFont val="Tahoma"/>
            <family val="2"/>
          </rPr>
          <t>J</t>
        </r>
        <r>
          <rPr>
            <sz val="10"/>
            <rFont val="Tahoma"/>
            <family val="0"/>
          </rPr>
          <t xml:space="preserve">arosllawski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wtomobilnij
</t>
        </r>
        <r>
          <rPr>
            <sz val="10"/>
            <rFont val="Tahoma"/>
            <family val="2"/>
          </rPr>
          <t>Z</t>
        </r>
        <r>
          <rPr>
            <sz val="10"/>
            <rFont val="Tahoma"/>
            <family val="0"/>
          </rPr>
          <t>awod</t>
        </r>
      </text>
    </comment>
    <comment ref="B143" authorId="0">
      <text>
        <r>
          <rPr>
            <b/>
            <u val="single"/>
            <sz val="10"/>
            <rFont val="Tahoma"/>
            <family val="2"/>
          </rPr>
          <t>J</t>
        </r>
        <r>
          <rPr>
            <sz val="10"/>
            <rFont val="Tahoma"/>
            <family val="0"/>
          </rPr>
          <t xml:space="preserve">arosllawski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wtomobilnij
</t>
        </r>
        <r>
          <rPr>
            <sz val="10"/>
            <rFont val="Tahoma"/>
            <family val="2"/>
          </rPr>
          <t>Z</t>
        </r>
        <r>
          <rPr>
            <sz val="10"/>
            <rFont val="Tahoma"/>
            <family val="0"/>
          </rPr>
          <t>awod</t>
        </r>
      </text>
    </comment>
    <comment ref="F168" authorId="0">
      <text>
        <r>
          <rPr>
            <sz val="10"/>
            <rFont val="Tahoma"/>
            <family val="0"/>
          </rPr>
          <t>100 x 140 mm</t>
        </r>
      </text>
    </comment>
    <comment ref="F140" authorId="0">
      <text>
        <r>
          <rPr>
            <sz val="10"/>
            <rFont val="Tahoma"/>
            <family val="0"/>
          </rPr>
          <t>120 x 146,5 mm</t>
        </r>
      </text>
    </comment>
    <comment ref="F113" authorId="0">
      <text>
        <r>
          <rPr>
            <sz val="10"/>
            <rFont val="Tahoma"/>
            <family val="0"/>
          </rPr>
          <t>101,6 x 127 mm</t>
        </r>
      </text>
    </comment>
    <comment ref="B168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>rone-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wtomobil, Basis: AMO F-15</t>
        </r>
      </text>
    </comment>
    <comment ref="B163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 xml:space="preserve">rone-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</t>
        </r>
      </text>
    </comment>
    <comment ref="B165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 xml:space="preserve">rone-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</t>
        </r>
      </text>
    </comment>
    <comment ref="B171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 xml:space="preserve">rone-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</t>
        </r>
      </text>
    </comment>
    <comment ref="B172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 xml:space="preserve">rone-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</t>
        </r>
      </text>
    </comment>
    <comment ref="F21" authorId="0">
      <text>
        <r>
          <rPr>
            <sz val="10"/>
            <rFont val="Tahoma"/>
            <family val="0"/>
          </rPr>
          <t>82 x 110 mm</t>
        </r>
      </text>
    </comment>
    <comment ref="B87" authorId="0">
      <text>
        <r>
          <rPr>
            <sz val="10"/>
            <rFont val="Tahoma"/>
            <family val="0"/>
          </rPr>
          <t xml:space="preserve">Jaroslawl
</t>
        </r>
      </text>
    </comment>
    <comment ref="B88" authorId="0">
      <text>
        <r>
          <rPr>
            <sz val="10"/>
            <rFont val="Tahoma"/>
            <family val="0"/>
          </rPr>
          <t xml:space="preserve">Jaroslawl
</t>
        </r>
      </text>
    </comment>
    <comment ref="B10" authorId="0">
      <text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 xml:space="preserve">orkij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awod</t>
        </r>
      </text>
    </comment>
    <comment ref="B12" authorId="0">
      <text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 xml:space="preserve">orkij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awod</t>
        </r>
      </text>
    </comment>
    <comment ref="B63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meni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talina</t>
        </r>
      </text>
    </comment>
    <comment ref="B66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meni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talina</t>
        </r>
      </text>
    </comment>
    <comment ref="B68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meni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talina</t>
        </r>
      </text>
    </comment>
    <comment ref="B72" authorId="0">
      <text>
        <r>
          <rPr>
            <sz val="10"/>
            <rFont val="Tahoma"/>
            <family val="2"/>
          </rPr>
          <t>Feuer-
wehr</t>
        </r>
      </text>
    </comment>
    <comment ref="B73" authorId="0">
      <text>
        <r>
          <rPr>
            <sz val="10"/>
            <rFont val="Tahoma"/>
            <family val="2"/>
          </rPr>
          <t>niedr.
Ladefl.</t>
        </r>
      </text>
    </comment>
    <comment ref="B76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meni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talina
</t>
        </r>
      </text>
    </comment>
    <comment ref="F23" authorId="0">
      <text>
        <r>
          <rPr>
            <sz val="10"/>
            <rFont val="Tahoma"/>
            <family val="0"/>
          </rPr>
          <t>82 x 110 mm</t>
        </r>
      </text>
    </comment>
    <comment ref="F130" authorId="0">
      <text>
        <r>
          <rPr>
            <sz val="10"/>
            <rFont val="Tahoma"/>
            <family val="0"/>
          </rPr>
          <t>125 x 152 mm</t>
        </r>
      </text>
    </comment>
    <comment ref="F139" authorId="0">
      <text>
        <r>
          <rPr>
            <sz val="10"/>
            <rFont val="Tahoma"/>
            <family val="0"/>
          </rPr>
          <t>125 x 152 mm</t>
        </r>
      </text>
    </comment>
    <comment ref="AD35" authorId="0">
      <text>
        <r>
          <rPr>
            <sz val="10"/>
            <rFont val="Tahoma"/>
            <family val="0"/>
          </rPr>
          <t>bis 1.7.1941</t>
        </r>
      </text>
    </comment>
    <comment ref="AE35" authorId="0">
      <text>
        <r>
          <rPr>
            <b/>
            <sz val="10"/>
            <rFont val="Tahoma"/>
            <family val="0"/>
          </rPr>
          <t>ab 1.7.41</t>
        </r>
      </text>
    </comment>
    <comment ref="AD155" authorId="0">
      <text>
        <r>
          <rPr>
            <sz val="10"/>
            <rFont val="Tahoma"/>
            <family val="0"/>
          </rPr>
          <t>bis 21.6.1941</t>
        </r>
      </text>
    </comment>
    <comment ref="AE155" authorId="0">
      <text>
        <r>
          <rPr>
            <b/>
            <sz val="10"/>
            <rFont val="Tahoma"/>
            <family val="0"/>
          </rPr>
          <t>ab 22.6.41</t>
        </r>
      </text>
    </comment>
    <comment ref="F7" authorId="0">
      <text>
        <r>
          <rPr>
            <sz val="10"/>
            <rFont val="Tahoma"/>
            <family val="2"/>
          </rPr>
          <t>84 x 105 mm</t>
        </r>
      </text>
    </comment>
    <comment ref="F61" authorId="0">
      <text>
        <r>
          <rPr>
            <sz val="10"/>
            <rFont val="Tahoma"/>
            <family val="0"/>
          </rPr>
          <t>95,25 x 114,3 mm;
3,75 x 4,5" (Herc.DJXC?)</t>
        </r>
      </text>
    </comment>
    <comment ref="F66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95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90" authorId="0">
      <text>
        <r>
          <rPr>
            <sz val="10"/>
            <rFont val="Tahoma"/>
            <family val="0"/>
          </rPr>
          <t>111 x 120,6 mm
(4,375 x 4,75")
Hercules XYC</t>
        </r>
      </text>
    </comment>
    <comment ref="F128" authorId="0">
      <text>
        <r>
          <rPr>
            <sz val="10"/>
            <rFont val="Tahoma"/>
            <family val="0"/>
          </rPr>
          <t>1</t>
        </r>
        <r>
          <rPr>
            <b/>
            <u val="single"/>
            <sz val="10"/>
            <rFont val="Tahoma"/>
            <family val="2"/>
          </rPr>
          <t>5</t>
        </r>
        <r>
          <rPr>
            <sz val="10"/>
            <rFont val="Tahoma"/>
            <family val="0"/>
          </rPr>
          <t>5 x 205 mm 
M</t>
        </r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 xml:space="preserve"> 17</t>
        </r>
      </text>
    </comment>
    <comment ref="F145" authorId="0">
      <text>
        <r>
          <rPr>
            <sz val="10"/>
            <rFont val="Tahoma"/>
            <family val="0"/>
          </rPr>
          <t>145 x 205 mm 
M 17</t>
        </r>
      </text>
    </comment>
    <comment ref="F28" authorId="0">
      <text>
        <r>
          <rPr>
            <sz val="10"/>
            <rFont val="Tahoma"/>
            <family val="0"/>
          </rPr>
          <t xml:space="preserve">85 x 127 mm
</t>
        </r>
      </text>
    </comment>
    <comment ref="F27" authorId="0">
      <text>
        <r>
          <rPr>
            <sz val="10"/>
            <rFont val="Tahoma"/>
            <family val="0"/>
          </rPr>
          <t xml:space="preserve">84,1 x 127 mm
</t>
        </r>
      </text>
    </comment>
    <comment ref="F68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2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3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6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69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0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84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162" authorId="0">
      <text>
        <r>
          <rPr>
            <i/>
            <sz val="10"/>
            <rFont val="Tahoma"/>
            <family val="2"/>
          </rPr>
          <t>82 x 110 mm</t>
        </r>
      </text>
    </comment>
    <comment ref="F200" authorId="0">
      <text>
        <r>
          <rPr>
            <sz val="10"/>
            <rFont val="Tahoma"/>
            <family val="0"/>
          </rPr>
          <t>100 x 140 mm 
Fiat/AMO F-15</t>
        </r>
      </text>
    </comment>
    <comment ref="F183" authorId="0">
      <text>
        <r>
          <rPr>
            <sz val="10"/>
            <rFont val="Tahoma"/>
            <family val="0"/>
          </rPr>
          <t>98,4 x 108 mm</t>
        </r>
      </text>
    </comment>
    <comment ref="F184" authorId="0">
      <text>
        <r>
          <rPr>
            <sz val="10"/>
            <rFont val="Tahoma"/>
            <family val="0"/>
          </rPr>
          <t>98,4 x 108 mm</t>
        </r>
      </text>
    </comment>
    <comment ref="F185" authorId="0">
      <text>
        <r>
          <rPr>
            <sz val="10"/>
            <rFont val="Tahoma"/>
            <family val="0"/>
          </rPr>
          <t>98,4 x 108 mm</t>
        </r>
      </text>
    </comment>
    <comment ref="F186" authorId="0">
      <text>
        <r>
          <rPr>
            <sz val="10"/>
            <rFont val="Tahoma"/>
            <family val="0"/>
          </rPr>
          <t>98,4 x 108 mm</t>
        </r>
      </text>
    </comment>
    <comment ref="F187" authorId="0">
      <text>
        <r>
          <rPr>
            <sz val="10"/>
            <rFont val="Tahoma"/>
            <family val="0"/>
          </rPr>
          <t>98,4 x 108 mm</t>
        </r>
      </text>
    </comment>
    <comment ref="F188" authorId="0">
      <text>
        <r>
          <rPr>
            <sz val="10"/>
            <rFont val="Tahoma"/>
            <family val="0"/>
          </rPr>
          <t>98,4 x 108 mm</t>
        </r>
      </text>
    </comment>
    <comment ref="F203" authorId="0">
      <text>
        <r>
          <rPr>
            <sz val="10"/>
            <rFont val="Tahoma"/>
            <family val="0"/>
          </rPr>
          <t>120 x 146,5 mm</t>
        </r>
      </text>
    </comment>
    <comment ref="F206" authorId="0">
      <text>
        <r>
          <rPr>
            <sz val="10"/>
            <rFont val="Tahoma"/>
            <family val="0"/>
          </rPr>
          <t>120 x 146,5 mm</t>
        </r>
      </text>
    </comment>
    <comment ref="F207" authorId="0">
      <text>
        <r>
          <rPr>
            <sz val="10"/>
            <rFont val="Tahoma"/>
            <family val="0"/>
          </rPr>
          <t>120 x 146,5 mm</t>
        </r>
      </text>
    </comment>
    <comment ref="F204" authorId="0">
      <text>
        <r>
          <rPr>
            <sz val="10"/>
            <rFont val="Tahoma"/>
            <family val="0"/>
          </rPr>
          <t>120 x 146,5 mm</t>
        </r>
      </text>
    </comment>
    <comment ref="F205" authorId="0">
      <text>
        <r>
          <rPr>
            <sz val="10"/>
            <rFont val="Tahoma"/>
            <family val="0"/>
          </rPr>
          <t>120 x 146,5 mm</t>
        </r>
      </text>
    </comment>
    <comment ref="F212" authorId="0">
      <text>
        <r>
          <rPr>
            <sz val="10"/>
            <rFont val="Tahoma"/>
            <family val="0"/>
          </rPr>
          <t>127 x 177,8 mm
Liberty</t>
        </r>
      </text>
    </comment>
    <comment ref="F213" authorId="0">
      <text>
        <r>
          <rPr>
            <sz val="10"/>
            <rFont val="Tahoma"/>
            <family val="0"/>
          </rPr>
          <t>127 x 177,8 mm
Liberty</t>
        </r>
      </text>
    </comment>
    <comment ref="F229" authorId="0">
      <text>
        <r>
          <rPr>
            <sz val="10"/>
            <rFont val="Tahoma"/>
            <family val="0"/>
          </rPr>
          <t>160 x 190 mm
BMW VI</t>
        </r>
      </text>
    </comment>
    <comment ref="F230" authorId="0">
      <text>
        <r>
          <rPr>
            <sz val="10"/>
            <rFont val="Tahoma"/>
            <family val="0"/>
          </rPr>
          <t>160 x 190 mm
BMW VI</t>
        </r>
      </text>
    </comment>
    <comment ref="F220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F221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F222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F223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F224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F225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U38" authorId="0">
      <text>
        <r>
          <rPr>
            <sz val="10"/>
            <rFont val="Tahoma"/>
            <family val="0"/>
          </rPr>
          <t>1. Ex. 29.1.32, insges.7.443 Ex. 
(AQ 43/4 S.69)</t>
        </r>
      </text>
    </comment>
    <comment ref="Y17" authorId="0">
      <text>
        <r>
          <rPr>
            <sz val="10"/>
            <rFont val="Tahoma"/>
            <family val="0"/>
          </rPr>
          <t>2.524 ab 1.5.36 (AQ 43/4 S.73), wiki.ru</t>
        </r>
      </text>
    </comment>
    <comment ref="F114" authorId="0">
      <text>
        <r>
          <rPr>
            <sz val="10"/>
            <rFont val="Tahoma"/>
            <family val="2"/>
          </rPr>
          <t>95 x 127mm</t>
        </r>
      </text>
    </comment>
    <comment ref="M113" authorId="0">
      <text>
        <r>
          <rPr>
            <sz val="10"/>
            <rFont val="Tahoma"/>
            <family val="0"/>
          </rPr>
          <t>ab 1.10.24, wiki.ru:74
Siemer: 70 Ex.</t>
        </r>
      </text>
    </comment>
    <comment ref="F110" authorId="0">
      <text>
        <r>
          <rPr>
            <sz val="10"/>
            <rFont val="Tahoma"/>
            <family val="0"/>
          </rPr>
          <t>180 x 180 mm</t>
        </r>
      </text>
    </comment>
    <comment ref="F112" authorId="0">
      <text>
        <r>
          <rPr>
            <sz val="10"/>
            <rFont val="Tahoma"/>
            <family val="0"/>
          </rPr>
          <t>190 x 200 mm</t>
        </r>
      </text>
    </comment>
    <comment ref="F136" authorId="0">
      <text>
        <r>
          <rPr>
            <sz val="10"/>
            <rFont val="Tahoma"/>
            <family val="0"/>
          </rPr>
          <t>121 x 152 mm</t>
        </r>
      </text>
    </comment>
    <comment ref="C111" authorId="0">
      <text>
        <r>
          <rPr>
            <sz val="10"/>
            <rFont val="Tahoma"/>
            <family val="0"/>
          </rPr>
          <t>Krasnij Progress,
Bolschoj Tokmak</t>
        </r>
      </text>
    </comment>
    <comment ref="AM108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- Dupouy, Alain: les tracteurs et engins speciaux chenilles sovietiques, Grenoble o.J. (ca.1985)
</t>
        </r>
      </text>
    </comment>
    <comment ref="S116" authorId="0">
      <text>
        <r>
          <rPr>
            <sz val="10"/>
            <rFont val="Tahoma"/>
            <family val="0"/>
          </rPr>
          <t>ab 6.30 in Stalingrad</t>
        </r>
      </text>
    </comment>
    <comment ref="G116" authorId="0">
      <text>
        <r>
          <rPr>
            <sz val="10"/>
            <rFont val="Tahoma"/>
            <family val="0"/>
          </rPr>
          <t>auch Diesel 32,5 PS 
ab 30erj. (Dupouy)</t>
        </r>
      </text>
    </comment>
    <comment ref="F131" authorId="0">
      <text>
        <r>
          <rPr>
            <sz val="10"/>
            <rFont val="Tahoma"/>
            <family val="0"/>
          </rPr>
          <t>125 x 152 mm</t>
        </r>
      </text>
    </comment>
    <comment ref="F117" authorId="0">
      <text>
        <r>
          <rPr>
            <sz val="10"/>
            <rFont val="Tahoma"/>
            <family val="0"/>
          </rPr>
          <t>115 x 152 mm</t>
        </r>
      </text>
    </comment>
    <comment ref="G117" authorId="0">
      <text>
        <r>
          <rPr>
            <sz val="10"/>
            <rFont val="Tahoma"/>
            <family val="0"/>
          </rPr>
          <t>auch Diesel 32,5 PS 
ab 30erj. (Dupouy)</t>
        </r>
      </text>
    </comment>
    <comment ref="T117" authorId="0">
      <text>
        <r>
          <rPr>
            <sz val="10"/>
            <rFont val="Tahoma"/>
            <family val="0"/>
          </rPr>
          <t xml:space="preserve">ab 1.10.31 </t>
        </r>
      </text>
    </comment>
    <comment ref="U117" authorId="0">
      <text>
        <r>
          <rPr>
            <sz val="10"/>
            <rFont val="Tahoma"/>
            <family val="0"/>
          </rPr>
          <t>Produktion von 50 auf 100/Tag gesteigert (Dupouy)</t>
        </r>
      </text>
    </comment>
    <comment ref="F129" authorId="0">
      <text>
        <r>
          <rPr>
            <sz val="10"/>
            <rFont val="Tahoma"/>
            <family val="0"/>
          </rPr>
          <t>125 x 152 mm</t>
        </r>
      </text>
    </comment>
    <comment ref="F77" authorId="0">
      <text>
        <r>
          <rPr>
            <sz val="10"/>
            <rFont val="Tahoma"/>
            <family val="0"/>
          </rPr>
          <t>101,6 x 114,3 mm
(4 x 4,5" Herc.WXC)</t>
        </r>
      </text>
    </comment>
    <comment ref="M122" authorId="0">
      <text>
        <r>
          <rPr>
            <sz val="10"/>
            <rFont val="Tahoma"/>
            <family val="0"/>
          </rPr>
          <t>ab 4.24 (Dupouy)
Kirindas: 12</t>
        </r>
      </text>
    </comment>
    <comment ref="V125" authorId="0">
      <text>
        <r>
          <rPr>
            <sz val="10"/>
            <rFont val="Tahoma"/>
            <family val="0"/>
          </rPr>
          <t>ab 1.6.33 (Dupouy)</t>
        </r>
      </text>
    </comment>
    <comment ref="T144" authorId="0">
      <text>
        <r>
          <rPr>
            <sz val="10"/>
            <rFont val="Tahoma"/>
            <family val="0"/>
          </rPr>
          <t>3 Prototypen 11.31
(Dupoy, Veh,T,T,III)</t>
        </r>
      </text>
    </comment>
    <comment ref="D229" authorId="0">
      <text>
        <r>
          <rPr>
            <sz val="10"/>
            <rFont val="Tahoma"/>
            <family val="0"/>
          </rPr>
          <t>28 - 31 to, 
je nach Modell</t>
        </r>
      </text>
    </comment>
    <comment ref="F194" authorId="0">
      <text>
        <r>
          <rPr>
            <sz val="10"/>
            <rFont val="Tahoma"/>
            <family val="0"/>
          </rPr>
          <t>125 x 152 mm</t>
        </r>
      </text>
    </comment>
    <comment ref="AM3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- Daschko, Dmitrij: Sowjetskoje legkowye 1918 - 1942, Moskau 2012
</t>
        </r>
      </text>
    </comment>
    <comment ref="F159" authorId="0">
      <text>
        <r>
          <rPr>
            <sz val="10"/>
            <rFont val="Tahoma"/>
            <family val="0"/>
          </rPr>
          <t>98,4 x 108 mm</t>
        </r>
      </text>
    </comment>
    <comment ref="F228" authorId="0">
      <text>
        <r>
          <rPr>
            <sz val="10"/>
            <rFont val="Tahoma"/>
            <family val="0"/>
          </rPr>
          <t>140 x 150 mm
M-6 (Liz.Hisp.-Su.)</t>
        </r>
      </text>
    </comment>
    <comment ref="F216" authorId="0">
      <text>
        <r>
          <rPr>
            <sz val="10"/>
            <rFont val="Tahoma"/>
            <family val="0"/>
          </rPr>
          <t>160 x 190 mm
M-17T</t>
        </r>
      </text>
    </comment>
    <comment ref="F217" authorId="0">
      <text>
        <r>
          <rPr>
            <sz val="10"/>
            <rFont val="Tahoma"/>
            <family val="0"/>
          </rPr>
          <t>150 x 180 mm (6 Zyl.)/
150 x 186,5mm (6 Zyl.) B-2</t>
        </r>
      </text>
    </comment>
    <comment ref="B215" authorId="0">
      <text>
        <r>
          <rPr>
            <b/>
            <u val="single"/>
            <sz val="10"/>
            <rFont val="Tahoma"/>
            <family val="2"/>
          </rPr>
          <t>R</t>
        </r>
        <r>
          <rPr>
            <sz val="10"/>
            <rFont val="Tahoma"/>
            <family val="0"/>
          </rPr>
          <t xml:space="preserve">adio 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
(Funkausrüstung)</t>
        </r>
      </text>
    </comment>
    <comment ref="F215" authorId="0">
      <text>
        <r>
          <rPr>
            <sz val="10"/>
            <rFont val="Tahoma"/>
            <family val="0"/>
          </rPr>
          <t>160 x 190 mm
M-17T</t>
        </r>
      </text>
    </comment>
    <comment ref="B213" authorId="0">
      <text>
        <r>
          <rPr>
            <b/>
            <u val="single"/>
            <sz val="10"/>
            <rFont val="Tahoma"/>
            <family val="2"/>
          </rPr>
          <t>R</t>
        </r>
        <r>
          <rPr>
            <sz val="10"/>
            <rFont val="Tahoma"/>
            <family val="0"/>
          </rPr>
          <t xml:space="preserve">adio 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
(Funkausrüstung)</t>
        </r>
      </text>
    </comment>
    <comment ref="B204" authorId="0">
      <text>
        <r>
          <rPr>
            <b/>
            <u val="single"/>
            <sz val="10"/>
            <rFont val="Tahoma"/>
            <family val="2"/>
          </rPr>
          <t>R</t>
        </r>
        <r>
          <rPr>
            <sz val="10"/>
            <rFont val="Tahoma"/>
            <family val="0"/>
          </rPr>
          <t xml:space="preserve">adio 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
(Funkausrüstung)</t>
        </r>
      </text>
    </comment>
    <comment ref="F208" authorId="0">
      <text>
        <r>
          <rPr>
            <sz val="10"/>
            <rFont val="Tahoma"/>
            <family val="0"/>
          </rPr>
          <t>120 x 146,5 mm</t>
        </r>
      </text>
    </comment>
    <comment ref="B207" authorId="0">
      <text>
        <r>
          <rPr>
            <sz val="10"/>
            <rFont val="Tahoma"/>
            <family val="0"/>
          </rPr>
          <t>Brückenleger</t>
        </r>
      </text>
    </comment>
    <comment ref="B206" authorId="0">
      <text>
        <r>
          <rPr>
            <b/>
            <u val="single"/>
            <sz val="10"/>
            <rFont val="Tahoma"/>
            <family val="2"/>
          </rPr>
          <t>O</t>
        </r>
        <r>
          <rPr>
            <sz val="10"/>
            <rFont val="Tahoma"/>
            <family val="0"/>
          </rPr>
          <t xml:space="preserve">gnemetnij 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ank=
Flammenwerfer</t>
        </r>
      </text>
    </comment>
    <comment ref="F201" authorId="0">
      <text>
        <r>
          <rPr>
            <sz val="10"/>
            <rFont val="Tahoma"/>
            <family val="0"/>
          </rPr>
          <t>85 x 140 mm
T-18</t>
        </r>
      </text>
    </comment>
    <comment ref="B186" authorId="0">
      <text>
        <r>
          <rPr>
            <b/>
            <u val="single"/>
            <sz val="10"/>
            <rFont val="Tahoma"/>
            <family val="2"/>
          </rPr>
          <t>R</t>
        </r>
        <r>
          <rPr>
            <sz val="10"/>
            <rFont val="Tahoma"/>
            <family val="0"/>
          </rPr>
          <t xml:space="preserve">adio 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
(Funkausrüstung)</t>
        </r>
      </text>
    </comment>
    <comment ref="B189" authorId="0">
      <text>
        <r>
          <rPr>
            <b/>
            <u val="single"/>
            <sz val="10"/>
            <rFont val="Tahoma"/>
            <family val="2"/>
          </rPr>
          <t>R</t>
        </r>
        <r>
          <rPr>
            <sz val="10"/>
            <rFont val="Tahoma"/>
            <family val="0"/>
          </rPr>
          <t xml:space="preserve">adio 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>ank
(Funkausrüstung)</t>
        </r>
      </text>
    </comment>
    <comment ref="F231" authorId="0">
      <text>
        <r>
          <rPr>
            <sz val="10"/>
            <rFont val="Tahoma"/>
            <family val="0"/>
          </rPr>
          <t>150 x 180 mm (6 Zyl.)/
150 x 186,5mm (6 Zyl.) B-2B</t>
        </r>
      </text>
    </comment>
    <comment ref="F232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3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4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5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6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7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8" authorId="0">
      <text>
        <r>
          <rPr>
            <sz val="10"/>
            <rFont val="Tahoma"/>
            <family val="0"/>
          </rPr>
          <t>150 x 180 mm (6 Zyl.)/
150 x 186,5mm (6 Zyl.)
B-2B</t>
        </r>
      </text>
    </comment>
    <comment ref="F239" authorId="0">
      <text>
        <r>
          <rPr>
            <sz val="10"/>
            <rFont val="Tahoma"/>
            <family val="0"/>
          </rPr>
          <t xml:space="preserve">150 x 180 mm (6 Zyl.)/
150 x 186,5mm (6 Zyl.)
B-2B38.186
</t>
        </r>
      </text>
    </comment>
    <comment ref="B158" authorId="0">
      <text>
        <r>
          <rPr>
            <b/>
            <u val="single"/>
            <sz val="10"/>
            <rFont val="Tahoma"/>
            <family val="2"/>
          </rPr>
          <t>D</t>
        </r>
        <r>
          <rPr>
            <sz val="10"/>
            <rFont val="Tahoma"/>
            <family val="0"/>
          </rPr>
          <t>yrenkow</t>
        </r>
      </text>
    </comment>
    <comment ref="B159" authorId="0">
      <text>
        <r>
          <rPr>
            <b/>
            <u val="single"/>
            <sz val="10"/>
            <rFont val="Tahoma"/>
            <family val="2"/>
          </rPr>
          <t>D</t>
        </r>
        <r>
          <rPr>
            <sz val="10"/>
            <rFont val="Tahoma"/>
            <family val="0"/>
          </rPr>
          <t>yrenkow</t>
        </r>
      </text>
    </comment>
    <comment ref="F165" authorId="0">
      <text>
        <r>
          <rPr>
            <sz val="10"/>
            <rFont val="Tahoma"/>
            <family val="0"/>
          </rPr>
          <t>98 x 108 mm</t>
        </r>
      </text>
    </comment>
    <comment ref="F78" authorId="0">
      <text>
        <r>
          <rPr>
            <sz val="10"/>
            <rFont val="Tahoma"/>
            <family val="0"/>
          </rPr>
          <t>101,6 x 114,3 mm
(4 x 4,5" Herc.WXC)</t>
        </r>
      </text>
    </comment>
    <comment ref="T59" authorId="0">
      <text>
        <r>
          <rPr>
            <sz val="10"/>
            <rFont val="Tahoma"/>
            <family val="0"/>
          </rPr>
          <t xml:space="preserve">zuck.24: 273 Ex.
wiki.ru: </t>
        </r>
        <r>
          <rPr>
            <u val="single"/>
            <sz val="10"/>
            <rFont val="Tahoma"/>
            <family val="2"/>
          </rPr>
          <t>1.204</t>
        </r>
        <r>
          <rPr>
            <sz val="10"/>
            <rFont val="Tahoma"/>
            <family val="0"/>
          </rPr>
          <t xml:space="preserve"> o.1.268 Ex.
Daschko: 1.248 Ex.</t>
        </r>
      </text>
    </comment>
    <comment ref="F126" authorId="0">
      <text>
        <r>
          <rPr>
            <sz val="10"/>
            <rFont val="Tahoma"/>
            <family val="0"/>
          </rPr>
          <t>165 x 216 mm
(6,5 x 8,5")</t>
        </r>
      </text>
    </comment>
    <comment ref="N113" authorId="0">
      <text>
        <r>
          <rPr>
            <sz val="10"/>
            <rFont val="Tahoma"/>
            <family val="0"/>
          </rPr>
          <t>wiki.ru: 422 Ex.
Siemer: 85 Ex.</t>
        </r>
      </text>
    </comment>
    <comment ref="F111" authorId="0">
      <text>
        <r>
          <rPr>
            <sz val="10"/>
            <rFont val="Tahoma"/>
            <family val="0"/>
          </rPr>
          <t>2Takt
"kalorisatornij" 
= Glühkopf?</t>
        </r>
      </text>
    </comment>
    <comment ref="AM124" authorId="0">
      <text>
        <r>
          <rPr>
            <sz val="10"/>
            <rFont val="Tahoma"/>
            <family val="0"/>
          </rPr>
          <t>nach Vollert, Tygatschi, von Mod.9EU nur 1.750 Ex., damit insges.3.700 Ex.</t>
        </r>
      </text>
    </comment>
    <comment ref="F115" authorId="0">
      <text>
        <r>
          <rPr>
            <sz val="10"/>
            <rFont val="Tahoma"/>
            <family val="2"/>
          </rPr>
          <t>95 x 127mm</t>
        </r>
      </text>
    </comment>
    <comment ref="F176" authorId="0">
      <text>
        <r>
          <rPr>
            <sz val="10"/>
            <rFont val="Tahoma"/>
            <family val="0"/>
          </rPr>
          <t>101,6 x 114,3 mm
(4 x 4,5" Herc.WXC)</t>
        </r>
      </text>
    </comment>
    <comment ref="AE25" authorId="0">
      <text>
        <r>
          <rPr>
            <sz val="10"/>
            <rFont val="Tahoma"/>
            <family val="0"/>
          </rPr>
          <t>ab 8.41 (wiki.ru)</t>
        </r>
      </text>
    </comment>
    <comment ref="AI26" authorId="0">
      <text>
        <r>
          <rPr>
            <sz val="10"/>
            <rFont val="Tahoma"/>
            <family val="0"/>
          </rPr>
          <t xml:space="preserve">bis 8.5.45: 4.851 Ex., 
45 insges.6.068 Ex.(wiki ru.)//8.666 Ex.(Daschko)
</t>
        </r>
      </text>
    </comment>
    <comment ref="V68" authorId="0">
      <text>
        <r>
          <rPr>
            <sz val="10"/>
            <rFont val="Tahoma"/>
            <family val="0"/>
          </rPr>
          <t>ab 12.33 (Schug.)</t>
        </r>
      </text>
    </comment>
    <comment ref="AE68" authorId="0">
      <text>
        <r>
          <rPr>
            <sz val="10"/>
            <rFont val="Tahoma"/>
            <family val="0"/>
          </rPr>
          <t>bis 15.10.41</t>
        </r>
      </text>
    </comment>
    <comment ref="B65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meni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talina</t>
        </r>
      </text>
    </comment>
    <comment ref="F65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1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4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83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91" authorId="0">
      <text>
        <r>
          <rPr>
            <sz val="10"/>
            <rFont val="Tahoma"/>
            <family val="0"/>
          </rPr>
          <t>95,25 x 114,3 mm;
3,75 x 4,5" (Herc.DJXC?)</t>
        </r>
      </text>
    </comment>
    <comment ref="C109" authorId="0">
      <text>
        <r>
          <rPr>
            <sz val="10"/>
            <rFont val="Tahoma"/>
            <family val="0"/>
          </rPr>
          <t>ehem.Jekaterinburg,
Wolgadeutsche SSSR, 
Oblast Saratow</t>
        </r>
      </text>
    </comment>
    <comment ref="C110" authorId="0">
      <text>
        <r>
          <rPr>
            <sz val="10"/>
            <rFont val="Tahoma"/>
            <family val="0"/>
          </rPr>
          <t>ehem.Jekaterinburg,
Wolgadeutsche SSSR, 
Oblast Saratow</t>
        </r>
      </text>
    </comment>
    <comment ref="F175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173" authorId="0">
      <text>
        <r>
          <rPr>
            <sz val="10"/>
            <rFont val="Tahoma"/>
            <family val="0"/>
          </rPr>
          <t>98 x 108 mm</t>
        </r>
      </text>
    </comment>
    <comment ref="Y172" authorId="0">
      <text>
        <r>
          <rPr>
            <sz val="10"/>
            <rFont val="Tahoma"/>
            <family val="0"/>
          </rPr>
          <t xml:space="preserve">15 an NKWD,
37 n.Spanien
</t>
        </r>
      </text>
    </comment>
    <comment ref="D35" authorId="0">
      <text>
        <r>
          <rPr>
            <sz val="10"/>
            <rFont val="Tahoma"/>
            <family val="0"/>
          </rPr>
          <t xml:space="preserve">B (+ Zahl):  Bus mit ungefährer Anzahl der Sitzplätze
S:    Sattelschlepper-Zugmaschine
Z (+ Zahl):  (Straßen-)Zugmaschine, Zuglast in to
</t>
        </r>
      </text>
    </comment>
    <comment ref="E35" authorId="0">
      <text>
        <r>
          <rPr>
            <sz val="10"/>
            <rFont val="Tahoma"/>
            <family val="0"/>
          </rPr>
          <t>gelb: Diesel
hellgelb: Diesel o.Benzin
blau: Treibgas
grün: Holzgas</t>
        </r>
      </text>
    </comment>
    <comment ref="C2" authorId="0">
      <text>
        <r>
          <rPr>
            <sz val="10"/>
            <rFont val="Tahoma"/>
            <family val="0"/>
          </rPr>
          <t>grün = Militär-Typ</t>
        </r>
      </text>
    </comment>
    <comment ref="E2" authorId="0">
      <text>
        <r>
          <rPr>
            <sz val="10"/>
            <rFont val="Tahoma"/>
            <family val="0"/>
          </rPr>
          <t>gelb: Diesel
hellgelb: Diesel o.Benzin
blau: Treibgas
grün: Holzgas</t>
        </r>
      </text>
    </comment>
    <comment ref="D107" authorId="0">
      <text>
        <r>
          <rPr>
            <sz val="10"/>
            <rFont val="Tahoma"/>
            <family val="0"/>
          </rPr>
          <t xml:space="preserve">A    Ackerschlepper
H (+ Zahl)  Halbkettenzugmaschine (mit Zuglast)
R (+ Zahl)  Raupenschlepper (= unt.15 km/h max.) 
K (+ Zahl)  Kettenschlepper (= über 15 km/h max.) 
P      Motorpflug
R/K Fahrzeug mit wahweisem Rad- oder Kettenfahrgestell
S    Sattelschlepper-Zugmaschine
V    Vorderwagen, Zugachse, Einachsschlepper
Z (+ Zahl)  (Straßen-)Zugmaschine 
3x2   Dreiradschlepper m.Anz.d.angetriebenen Räder (hier: 2)
+Zahl = Zuglast in to
</t>
        </r>
      </text>
    </comment>
    <comment ref="E107" authorId="0">
      <text>
        <r>
          <rPr>
            <sz val="10"/>
            <rFont val="Tahoma"/>
            <family val="0"/>
          </rPr>
          <t>gelb: Diesel
hellgelb: Diesel o.Benzin
blau: Treibgas
grün: Holzgas</t>
        </r>
      </text>
    </comment>
    <comment ref="D155" authorId="0">
      <text>
        <r>
          <rPr>
            <sz val="10"/>
            <rFont val="Tahoma"/>
            <family val="0"/>
          </rPr>
          <t>Leergewicht</t>
        </r>
      </text>
    </comment>
    <comment ref="D179" authorId="0">
      <text>
        <r>
          <rPr>
            <sz val="10"/>
            <rFont val="Tahoma"/>
            <family val="0"/>
          </rPr>
          <t>Leergewicht</t>
        </r>
      </text>
    </comment>
    <comment ref="T210" authorId="0">
      <text>
        <r>
          <rPr>
            <sz val="10"/>
            <rFont val="Tahoma"/>
            <family val="0"/>
          </rPr>
          <t>N.Vg.218: 112 Ex.</t>
        </r>
      </text>
    </comment>
    <comment ref="U210" authorId="0">
      <text>
        <r>
          <rPr>
            <sz val="10"/>
            <rFont val="Tahoma"/>
            <family val="0"/>
          </rPr>
          <t>N.Vg.218: 1.683 Ex.</t>
        </r>
      </text>
    </comment>
    <comment ref="V210" authorId="0">
      <text>
        <r>
          <rPr>
            <sz val="10"/>
            <rFont val="Tahoma"/>
            <family val="0"/>
          </rPr>
          <t>N.Vg.218: 1.768 Ex.</t>
        </r>
      </text>
    </comment>
    <comment ref="W210" authorId="0">
      <text>
        <r>
          <rPr>
            <sz val="10"/>
            <rFont val="Tahoma"/>
            <family val="0"/>
          </rPr>
          <t>N.Vg.218: 997 Ex.</t>
        </r>
      </text>
    </comment>
    <comment ref="X210" authorId="0">
      <text>
        <r>
          <rPr>
            <sz val="10"/>
            <rFont val="Tahoma"/>
            <family val="0"/>
          </rPr>
          <t>N.Vg.218: 1.323 Ex.</t>
        </r>
      </text>
    </comment>
    <comment ref="Y210" authorId="0">
      <text>
        <r>
          <rPr>
            <sz val="10"/>
            <rFont val="Tahoma"/>
            <family val="0"/>
          </rPr>
          <t>N.Vg.218: 1.402 Ex.</t>
        </r>
      </text>
    </comment>
    <comment ref="AA210" authorId="0">
      <text>
        <r>
          <rPr>
            <sz val="10"/>
            <rFont val="Tahoma"/>
            <family val="0"/>
          </rPr>
          <t>N.Vg.218: 1.092 Ex.</t>
        </r>
      </text>
    </comment>
    <comment ref="AB210" authorId="0">
      <text>
        <r>
          <rPr>
            <sz val="10"/>
            <rFont val="Tahoma"/>
            <family val="0"/>
          </rPr>
          <t>N.Vg.218: 1.400 Ex.</t>
        </r>
      </text>
    </comment>
    <comment ref="AC210" authorId="0">
      <text>
        <r>
          <rPr>
            <sz val="10"/>
            <rFont val="Tahoma"/>
            <family val="0"/>
          </rPr>
          <t>N.Vg.218: 1.613 Ex.</t>
        </r>
      </text>
    </comment>
    <comment ref="AE210" authorId="0">
      <text>
        <r>
          <rPr>
            <sz val="10"/>
            <rFont val="Tahoma"/>
            <family val="0"/>
          </rPr>
          <t>N.Vg.218: 61 Ex.</t>
        </r>
      </text>
    </comment>
    <comment ref="F6" authorId="0">
      <text>
        <r>
          <rPr>
            <sz val="10"/>
            <rFont val="Tahoma"/>
            <family val="0"/>
          </rPr>
          <t>100 x 140 mm</t>
        </r>
      </text>
    </comment>
    <comment ref="B89" authorId="0">
      <text>
        <r>
          <rPr>
            <sz val="10"/>
            <rFont val="Tahoma"/>
            <family val="0"/>
          </rPr>
          <t xml:space="preserve">Jaroslawl
</t>
        </r>
      </text>
    </comment>
    <comment ref="F89" authorId="0">
      <text>
        <r>
          <rPr>
            <sz val="10"/>
            <rFont val="Tahoma"/>
            <family val="0"/>
          </rPr>
          <t>111 x 120,6 mm
(4,375 x 4,75")
Hercules XYC</t>
        </r>
      </text>
    </comment>
    <comment ref="F62" authorId="0">
      <text>
        <r>
          <rPr>
            <sz val="10"/>
            <rFont val="Tahoma"/>
            <family val="0"/>
          </rPr>
          <t>95,25 x 114,3 mm;
3,75 x 4,5" (Herc.DJXC?)</t>
        </r>
      </text>
    </comment>
    <comment ref="B95" authorId="0">
      <text>
        <r>
          <rPr>
            <b/>
            <u val="single"/>
            <sz val="10"/>
            <rFont val="Tahoma"/>
            <family val="2"/>
          </rPr>
          <t>Ja</t>
        </r>
        <r>
          <rPr>
            <sz val="10"/>
            <rFont val="Tahoma"/>
            <family val="0"/>
          </rPr>
          <t xml:space="preserve">roslawl
</t>
        </r>
        <r>
          <rPr>
            <b/>
            <u val="single"/>
            <sz val="10"/>
            <rFont val="Tahoma"/>
            <family val="2"/>
          </rPr>
          <t>G</t>
        </r>
        <r>
          <rPr>
            <sz val="10"/>
            <rFont val="Tahoma"/>
            <family val="0"/>
          </rPr>
          <t>rusownik</t>
        </r>
      </text>
    </comment>
    <comment ref="AD9" authorId="0">
      <text>
        <r>
          <rPr>
            <sz val="10"/>
            <rFont val="Tahoma"/>
            <family val="0"/>
          </rPr>
          <t>1.: 70, 2.: 50, 3.: 102, 4.: 100 (wiki.ru)
Daschko a.A.: 306 Ex.,
od.365 ziv.+133mil</t>
        </r>
      </text>
    </comment>
    <comment ref="Y95" authorId="0">
      <text>
        <r>
          <rPr>
            <sz val="10"/>
            <rFont val="Tahoma"/>
            <family val="0"/>
          </rPr>
          <t>700 JaS 1</t>
        </r>
      </text>
    </comment>
    <comment ref="B164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 xml:space="preserve">rone-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</t>
        </r>
      </text>
    </comment>
    <comment ref="F164" authorId="0">
      <text>
        <r>
          <rPr>
            <sz val="10"/>
            <rFont val="Tahoma"/>
            <family val="0"/>
          </rPr>
          <t>98 x 108 mm</t>
        </r>
      </text>
    </comment>
    <comment ref="B166" authorId="0">
      <text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 xml:space="preserve">rone-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>wtomobil</t>
        </r>
      </text>
    </comment>
    <comment ref="F166" authorId="0">
      <text>
        <r>
          <rPr>
            <sz val="10"/>
            <rFont val="Tahoma"/>
            <family val="0"/>
          </rPr>
          <t>98 x 108 mm</t>
        </r>
      </text>
    </comment>
    <comment ref="AE174" authorId="0">
      <text>
        <r>
          <rPr>
            <sz val="10"/>
            <rFont val="Tahoma"/>
            <family val="0"/>
          </rPr>
          <t>7.-9.: 331,
9.-11.: 81 aus Restteilen</t>
        </r>
      </text>
    </comment>
    <comment ref="AH115" authorId="0">
      <text>
        <r>
          <rPr>
            <sz val="10"/>
            <rFont val="Tahoma"/>
            <family val="0"/>
          </rPr>
          <t>500 Stück 8.44-3.45</t>
        </r>
      </text>
    </comment>
    <comment ref="F133" authorId="0">
      <text>
        <r>
          <rPr>
            <sz val="10"/>
            <rFont val="Tahoma"/>
            <family val="0"/>
          </rPr>
          <t>101,6 x 114,3 mm
(4 x 4,5" Herc.WXC)</t>
        </r>
      </text>
    </comment>
    <comment ref="W116" authorId="0">
      <text>
        <r>
          <rPr>
            <sz val="10"/>
            <rFont val="Tahoma"/>
            <family val="0"/>
          </rPr>
          <t xml:space="preserve">4.34:100.000. Traktor
(Siemer S.52)
</t>
        </r>
      </text>
    </comment>
    <comment ref="U116" authorId="0">
      <text>
        <r>
          <rPr>
            <sz val="10"/>
            <rFont val="Tahoma"/>
            <family val="0"/>
          </rPr>
          <t>ab Fr.32: 150/Tag</t>
        </r>
      </text>
    </comment>
    <comment ref="X117" authorId="0">
      <text>
        <r>
          <rPr>
            <sz val="10"/>
            <rFont val="Tahoma"/>
            <family val="0"/>
          </rPr>
          <t>4.35: 100.000.
(Siemer S.12)</t>
        </r>
      </text>
    </comment>
    <comment ref="AH130" authorId="0">
      <text>
        <r>
          <rPr>
            <sz val="10"/>
            <rFont val="Tahoma"/>
            <family val="0"/>
          </rPr>
          <t xml:space="preserve">ab So.44 (Siemer S.52)
</t>
        </r>
      </text>
    </comment>
    <comment ref="F144" authorId="0">
      <text>
        <r>
          <rPr>
            <i/>
            <sz val="10"/>
            <rFont val="Tahoma"/>
            <family val="2"/>
          </rPr>
          <t xml:space="preserve">155 x 200 mm?
</t>
        </r>
        <r>
          <rPr>
            <sz val="10"/>
            <rFont val="Tahoma"/>
            <family val="2"/>
          </rPr>
          <t>Prot.: 158x200mm</t>
        </r>
      </text>
    </comment>
    <comment ref="T90" authorId="0">
      <text>
        <r>
          <rPr>
            <sz val="10"/>
            <rFont val="Tahoma"/>
            <family val="0"/>
          </rPr>
          <t>oder 6 Prototypen?</t>
        </r>
      </text>
    </comment>
    <comment ref="R88" authorId="0">
      <text>
        <r>
          <rPr>
            <sz val="10"/>
            <rFont val="Tahoma"/>
            <family val="0"/>
          </rPr>
          <t>1925 - E.30: 1.289 Ex.
(Za Rulem 21/1935 bei wiki.de Ja 3)</t>
        </r>
      </text>
    </comment>
    <comment ref="S60" authorId="0">
      <text>
        <r>
          <rPr>
            <sz val="10"/>
            <rFont val="Tahoma"/>
            <family val="0"/>
          </rPr>
          <t>Daschko: 847</t>
        </r>
      </text>
    </comment>
    <comment ref="T60" authorId="0">
      <text>
        <r>
          <rPr>
            <sz val="10"/>
            <rFont val="Tahoma"/>
            <family val="0"/>
          </rPr>
          <t>Daschko: 783</t>
        </r>
      </text>
    </comment>
    <comment ref="O86" authorId="0">
      <text>
        <r>
          <rPr>
            <sz val="10"/>
            <rFont val="Tahoma"/>
            <family val="0"/>
          </rPr>
          <t>Schug.: 27
Daschko: 7</t>
        </r>
      </text>
    </comment>
    <comment ref="P86" authorId="0">
      <text>
        <r>
          <rPr>
            <sz val="10"/>
            <rFont val="Tahoma"/>
            <family val="0"/>
          </rPr>
          <t>Schug.: 65
Daschko: 85</t>
        </r>
      </text>
    </comment>
    <comment ref="Q86" authorId="0">
      <text>
        <r>
          <rPr>
            <sz val="10"/>
            <rFont val="Tahoma"/>
            <family val="0"/>
          </rPr>
          <t>Schug., Daschko: 65</t>
        </r>
      </text>
    </comment>
    <comment ref="F94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92" authorId="0">
      <text>
        <r>
          <rPr>
            <sz val="10"/>
            <rFont val="Tahoma"/>
            <family val="0"/>
          </rPr>
          <t>101,6 x 114,3 mm
(4 x 4,5" Herc.WXC)</t>
        </r>
      </text>
    </comment>
    <comment ref="AB90" authorId="0">
      <text>
        <r>
          <rPr>
            <sz val="10"/>
            <rFont val="Tahoma"/>
            <family val="0"/>
          </rPr>
          <t>Daschko: 4 Ex.</t>
        </r>
      </text>
    </comment>
    <comment ref="AC90" authorId="0">
      <text>
        <r>
          <rPr>
            <sz val="10"/>
            <rFont val="Tahoma"/>
            <family val="0"/>
          </rPr>
          <t>Daschko: 4 Ex.</t>
        </r>
      </text>
    </comment>
    <comment ref="F97" authorId="0">
      <text>
        <r>
          <rPr>
            <sz val="10"/>
            <rFont val="Tahoma"/>
            <family val="0"/>
          </rPr>
          <t xml:space="preserve">
GMC</t>
        </r>
      </text>
    </comment>
    <comment ref="F37" authorId="0">
      <text>
        <r>
          <rPr>
            <sz val="10"/>
            <rFont val="Tahoma"/>
            <family val="0"/>
          </rPr>
          <t>98,4 x 108 mm</t>
        </r>
      </text>
    </comment>
    <comment ref="F39" authorId="0">
      <text>
        <r>
          <rPr>
            <sz val="10"/>
            <rFont val="Tahoma"/>
            <family val="0"/>
          </rPr>
          <t>98,4 x 108 mm</t>
        </r>
      </text>
    </comment>
    <comment ref="F40" authorId="0">
      <text>
        <r>
          <rPr>
            <sz val="10"/>
            <rFont val="Tahoma"/>
            <family val="0"/>
          </rPr>
          <t>98,4 x 108 mm</t>
        </r>
      </text>
    </comment>
    <comment ref="S37" authorId="0">
      <text>
        <r>
          <rPr>
            <sz val="10"/>
            <rFont val="Tahoma"/>
            <family val="0"/>
          </rPr>
          <t>KIM:319
Nischnij Nowg.: 3.432</t>
        </r>
      </text>
    </comment>
    <comment ref="T37" authorId="0">
      <text>
        <r>
          <rPr>
            <sz val="10"/>
            <rFont val="Tahoma"/>
            <family val="0"/>
          </rPr>
          <t>KIM: 10.284
Nischnij Nowg.:2.127+997</t>
        </r>
      </text>
    </comment>
    <comment ref="U37" authorId="0">
      <text>
        <r>
          <rPr>
            <sz val="10"/>
            <rFont val="Tahoma"/>
            <family val="0"/>
          </rPr>
          <t>KIM: 1.093
Nischnij Nowg.:122</t>
        </r>
      </text>
    </comment>
    <comment ref="R37" authorId="0">
      <text>
        <r>
          <rPr>
            <sz val="10"/>
            <rFont val="Tahoma"/>
            <family val="0"/>
          </rPr>
          <t>97 Ex. Charkow Awtosborotschnoj Sawod</t>
        </r>
      </text>
    </comment>
    <comment ref="Y45" authorId="0">
      <text>
        <r>
          <rPr>
            <sz val="10"/>
            <rFont val="Tahoma"/>
            <family val="0"/>
          </rPr>
          <t>Daschko: 237
wiki.de: 137</t>
        </r>
      </text>
    </comment>
    <comment ref="X45" authorId="0">
      <text>
        <r>
          <rPr>
            <sz val="10"/>
            <rFont val="Tahoma"/>
            <family val="0"/>
          </rPr>
          <t>20 Ex.Dmitrowskij Saw.
6 Ex.1.Mech. Werkst.</t>
        </r>
      </text>
    </comment>
    <comment ref="F64" authorId="0">
      <text>
        <r>
          <rPr>
            <sz val="10"/>
            <rFont val="Tahoma"/>
            <family val="0"/>
          </rPr>
          <t>101,6 x 114,3 mm
(4 x 4,5" Herc.WXC)</t>
        </r>
      </text>
    </comment>
    <comment ref="W64" authorId="0">
      <text>
        <r>
          <rPr>
            <sz val="10"/>
            <rFont val="Tahoma"/>
            <family val="0"/>
          </rPr>
          <t>Dmitrowskij Mechanitscheskij Sawod</t>
        </r>
      </text>
    </comment>
    <comment ref="X64" authorId="0">
      <text>
        <r>
          <rPr>
            <sz val="10"/>
            <rFont val="Tahoma"/>
            <family val="0"/>
          </rPr>
          <t>Mechanitscheskij Sawod Metrostroja</t>
        </r>
      </text>
    </comment>
    <comment ref="Y64" authorId="0">
      <text>
        <r>
          <rPr>
            <sz val="10"/>
            <rFont val="Tahoma"/>
            <family val="0"/>
          </rPr>
          <t>Sawod Arems: 50</t>
        </r>
      </text>
    </comment>
    <comment ref="C64" authorId="0">
      <text>
        <r>
          <rPr>
            <sz val="10"/>
            <rFont val="Tahoma"/>
            <family val="0"/>
          </rPr>
          <t>Maschinostroitelnij Sawod u.a.</t>
        </r>
      </text>
    </comment>
    <comment ref="F67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93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96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5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79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80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58" authorId="0">
      <text>
        <r>
          <rPr>
            <i/>
            <sz val="10"/>
            <rFont val="Tahoma"/>
            <family val="2"/>
          </rPr>
          <t>97,5 x 113,5 mm ?</t>
        </r>
        <r>
          <rPr>
            <sz val="10"/>
            <rFont val="Tahoma"/>
            <family val="0"/>
          </rPr>
          <t xml:space="preserve">
auch 225 cuin= 3.680 ccm</t>
        </r>
      </text>
    </comment>
    <comment ref="F57" authorId="0">
      <text>
        <r>
          <rPr>
            <i/>
            <sz val="10"/>
            <rFont val="Tahoma"/>
            <family val="2"/>
          </rPr>
          <t>95 x 136 mm ?</t>
        </r>
        <r>
          <rPr>
            <sz val="10"/>
            <rFont val="Tahoma"/>
            <family val="0"/>
          </rPr>
          <t xml:space="preserve">
(3</t>
        </r>
        <r>
          <rPr>
            <i/>
            <sz val="10"/>
            <rFont val="Tahoma"/>
            <family val="2"/>
          </rPr>
          <t>,75 x 5,375"</t>
        </r>
        <r>
          <rPr>
            <sz val="10"/>
            <rFont val="Tahoma"/>
            <family val="0"/>
          </rPr>
          <t>?)</t>
        </r>
      </text>
    </comment>
    <comment ref="AC42" authorId="0">
      <text>
        <r>
          <rPr>
            <sz val="10"/>
            <rFont val="Tahoma"/>
            <family val="0"/>
          </rPr>
          <t>teilweise darin enthalten GAS-AA</t>
        </r>
      </text>
    </comment>
    <comment ref="AD42" authorId="0">
      <text>
        <r>
          <rPr>
            <sz val="10"/>
            <rFont val="Tahoma"/>
            <family val="0"/>
          </rPr>
          <t>teilweise darin enthalten GAS-AA</t>
        </r>
      </text>
    </comment>
    <comment ref="F41" authorId="0">
      <text>
        <r>
          <rPr>
            <sz val="10"/>
            <rFont val="Tahoma"/>
            <family val="0"/>
          </rPr>
          <t>98,4 x 108 mm</t>
        </r>
      </text>
    </comment>
    <comment ref="F81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82" authorId="0">
      <text>
        <r>
          <rPr>
            <sz val="10"/>
            <rFont val="Tahoma"/>
            <family val="0"/>
          </rPr>
          <t>101,6 x 114,3 mm
(4 x 4,5" Herc.WXC)</t>
        </r>
      </text>
    </comment>
    <comment ref="F24" authorId="0">
      <text>
        <r>
          <rPr>
            <sz val="10"/>
            <rFont val="Tahoma"/>
            <family val="0"/>
          </rPr>
          <t>82 x 110 mm</t>
        </r>
      </text>
    </comment>
    <comment ref="F17" authorId="0">
      <text>
        <r>
          <rPr>
            <sz val="10"/>
            <rFont val="Tahoma"/>
            <family val="0"/>
          </rPr>
          <t>98,4 x 108 mm</t>
        </r>
      </text>
    </comment>
    <comment ref="F19" authorId="0">
      <text>
        <r>
          <rPr>
            <sz val="10"/>
            <rFont val="Tahoma"/>
            <family val="0"/>
          </rPr>
          <t>98,4 x 108 mm</t>
        </r>
      </text>
    </comment>
    <comment ref="F15" authorId="0">
      <text>
        <r>
          <rPr>
            <sz val="10"/>
            <rFont val="Tahoma"/>
            <family val="0"/>
          </rPr>
          <t>98,4 x 108 mm</t>
        </r>
      </text>
    </comment>
    <comment ref="F25" authorId="0">
      <text>
        <r>
          <rPr>
            <sz val="10"/>
            <rFont val="Tahoma"/>
            <family val="0"/>
          </rPr>
          <t>98,4 x 108 mm</t>
        </r>
      </text>
    </comment>
    <comment ref="F26" authorId="0">
      <text>
        <r>
          <rPr>
            <sz val="10"/>
            <rFont val="Tahoma"/>
            <family val="0"/>
          </rPr>
          <t>98,4 x 108 mm</t>
        </r>
      </text>
    </comment>
    <comment ref="F42" authorId="0">
      <text>
        <r>
          <rPr>
            <sz val="10"/>
            <rFont val="Tahoma"/>
            <family val="0"/>
          </rPr>
          <t>98,4 x 108 mm</t>
        </r>
      </text>
    </comment>
    <comment ref="F43" authorId="0">
      <text>
        <r>
          <rPr>
            <sz val="10"/>
            <rFont val="Tahoma"/>
            <family val="0"/>
          </rPr>
          <t>98,4 x 108 mm</t>
        </r>
      </text>
    </comment>
    <comment ref="F44" authorId="0">
      <text>
        <r>
          <rPr>
            <sz val="10"/>
            <rFont val="Tahoma"/>
            <family val="0"/>
          </rPr>
          <t>98,4 x 108 mm</t>
        </r>
      </text>
    </comment>
    <comment ref="F45" authorId="0">
      <text>
        <r>
          <rPr>
            <sz val="10"/>
            <rFont val="Tahoma"/>
            <family val="0"/>
          </rPr>
          <t>98,4 x 108 mm</t>
        </r>
      </text>
    </comment>
    <comment ref="F46" authorId="0">
      <text>
        <r>
          <rPr>
            <sz val="10"/>
            <rFont val="Tahoma"/>
            <family val="0"/>
          </rPr>
          <t>98,4 x 108 mm</t>
        </r>
      </text>
    </comment>
    <comment ref="F49" authorId="0">
      <text>
        <r>
          <rPr>
            <sz val="10"/>
            <rFont val="Tahoma"/>
            <family val="0"/>
          </rPr>
          <t>98,4 x 108 mm</t>
        </r>
      </text>
    </comment>
    <comment ref="F50" authorId="0">
      <text>
        <r>
          <rPr>
            <sz val="10"/>
            <rFont val="Tahoma"/>
            <family val="0"/>
          </rPr>
          <t>98,4 x 108 mm</t>
        </r>
      </text>
    </comment>
    <comment ref="F51" authorId="0">
      <text>
        <r>
          <rPr>
            <sz val="10"/>
            <rFont val="Tahoma"/>
            <family val="0"/>
          </rPr>
          <t>98,4 x 108 mm</t>
        </r>
      </text>
    </comment>
    <comment ref="F52" authorId="0">
      <text>
        <r>
          <rPr>
            <sz val="10"/>
            <rFont val="Tahoma"/>
            <family val="0"/>
          </rPr>
          <t>98,4 x 108 mm</t>
        </r>
      </text>
    </comment>
    <comment ref="F53" authorId="0">
      <text>
        <r>
          <rPr>
            <sz val="10"/>
            <rFont val="Tahoma"/>
            <family val="0"/>
          </rPr>
          <t>98,4 x 108 mm</t>
        </r>
      </text>
    </comment>
    <comment ref="F54" authorId="0">
      <text>
        <r>
          <rPr>
            <sz val="10"/>
            <rFont val="Tahoma"/>
            <family val="0"/>
          </rPr>
          <t>98,4 x 108 mm</t>
        </r>
      </text>
    </comment>
    <comment ref="F55" authorId="0">
      <text>
        <r>
          <rPr>
            <sz val="10"/>
            <rFont val="Tahoma"/>
            <family val="0"/>
          </rPr>
          <t>98,4 x 108 mm</t>
        </r>
      </text>
    </comment>
    <comment ref="F56" authorId="0">
      <text>
        <r>
          <rPr>
            <sz val="10"/>
            <rFont val="Tahoma"/>
            <family val="0"/>
          </rPr>
          <t>98,4 x 108 mm</t>
        </r>
      </text>
    </comment>
    <comment ref="AM144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3/2002, S.17 ff
Kirindas, A.: Artillerijskij Tjagatsch Kommintern, Moskau 2017</t>
        </r>
      </text>
    </comment>
    <comment ref="AM139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3/2002, S.8 ff</t>
        </r>
      </text>
    </comment>
    <comment ref="AM138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3/2002, S.3 ff</t>
        </r>
      </text>
    </comment>
    <comment ref="AM145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3/2002, S.13 ff</t>
        </r>
      </text>
    </comment>
    <comment ref="AM146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3/2002, S.22 ff</t>
        </r>
      </text>
    </comment>
    <comment ref="AM84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2/2005, S.2 ff</t>
        </r>
      </text>
    </comment>
    <comment ref="AM141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2/2005, S.15 ff</t>
        </r>
      </text>
    </comment>
    <comment ref="AM142" authorId="0">
      <text>
        <r>
          <rPr>
            <b/>
            <sz val="10"/>
            <rFont val="Tahoma"/>
            <family val="0"/>
          </rPr>
          <t xml:space="preserve"> Literatur:</t>
        </r>
        <r>
          <rPr>
            <sz val="10"/>
            <rFont val="Tahoma"/>
            <family val="0"/>
          </rPr>
          <t xml:space="preserve">
bronekollektija 2/2005, S.20 ff</t>
        </r>
      </text>
    </comment>
    <comment ref="AM143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bronekollektija 2/2005, S.27 ff</t>
        </r>
      </text>
    </comment>
    <comment ref="AD179" authorId="0">
      <text>
        <r>
          <rPr>
            <sz val="10"/>
            <rFont val="Tahoma"/>
            <family val="0"/>
          </rPr>
          <t>bis 21.6.1941</t>
        </r>
      </text>
    </comment>
    <comment ref="AE179" authorId="0">
      <text>
        <r>
          <rPr>
            <b/>
            <sz val="10"/>
            <rFont val="Tahoma"/>
            <family val="0"/>
          </rPr>
          <t>ab 22.6.41</t>
        </r>
      </text>
    </comment>
    <comment ref="P7" authorId="0">
      <text>
        <r>
          <rPr>
            <sz val="10"/>
            <rFont val="Tahoma"/>
            <family val="0"/>
          </rPr>
          <t>Daschko: 3</t>
        </r>
      </text>
    </comment>
    <comment ref="F13" authorId="0">
      <text>
        <r>
          <rPr>
            <sz val="10"/>
            <rFont val="Tahoma"/>
            <family val="0"/>
          </rPr>
          <t>98,4 x 108 mm</t>
        </r>
      </text>
    </comment>
    <comment ref="AC9" authorId="0">
      <text>
        <r>
          <rPr>
            <sz val="10"/>
            <rFont val="Tahoma"/>
            <family val="0"/>
          </rPr>
          <t>Daschko: 3+26+1,
wuku.ru: 16</t>
        </r>
      </text>
    </comment>
    <comment ref="F20" authorId="0">
      <text>
        <r>
          <rPr>
            <sz val="10"/>
            <rFont val="Tahoma"/>
            <family val="0"/>
          </rPr>
          <t>82 x 110 mm</t>
        </r>
      </text>
    </comment>
    <comment ref="F22" authorId="0">
      <text>
        <r>
          <rPr>
            <sz val="10"/>
            <rFont val="Tahoma"/>
            <family val="0"/>
          </rPr>
          <t>82 x 110 mm</t>
        </r>
      </text>
    </comment>
    <comment ref="AA28" authorId="0">
      <text>
        <r>
          <rPr>
            <sz val="10"/>
            <rFont val="Tahoma"/>
            <family val="0"/>
          </rPr>
          <t>davon 1 SIS 102</t>
        </r>
      </text>
    </comment>
    <comment ref="AB28" authorId="0">
      <text>
        <r>
          <rPr>
            <sz val="10"/>
            <rFont val="Tahoma"/>
            <family val="0"/>
          </rPr>
          <t>davon 8 SIS 102</t>
        </r>
      </text>
    </comment>
    <comment ref="F11" authorId="0">
      <text>
        <r>
          <rPr>
            <sz val="10"/>
            <rFont val="Tahoma"/>
            <family val="0"/>
          </rPr>
          <t>98,4 x 108 mm</t>
        </r>
      </text>
    </comment>
    <comment ref="F14" authorId="0">
      <text>
        <r>
          <rPr>
            <sz val="10"/>
            <rFont val="Tahoma"/>
            <family val="0"/>
          </rPr>
          <t>98,4 x 108 mm</t>
        </r>
      </text>
    </comment>
    <comment ref="F18" authorId="0">
      <text>
        <r>
          <rPr>
            <sz val="10"/>
            <rFont val="Tahoma"/>
            <family val="0"/>
          </rPr>
          <t>98,4 x 108 mm</t>
        </r>
      </text>
    </comment>
    <comment ref="Y15" authorId="0">
      <text>
        <r>
          <rPr>
            <sz val="10"/>
            <rFont val="Tahoma"/>
            <family val="0"/>
          </rPr>
          <t>angebl. 100 Ex., nach Daschko keine</t>
        </r>
      </text>
    </comment>
    <comment ref="AF25" authorId="0">
      <text>
        <r>
          <rPr>
            <sz val="10"/>
            <rFont val="Tahoma"/>
            <family val="0"/>
          </rPr>
          <t>wiki.ru: 68 Ex.</t>
        </r>
      </text>
    </comment>
    <comment ref="AG25" authorId="0">
      <text>
        <r>
          <rPr>
            <sz val="10"/>
            <rFont val="Tahoma"/>
            <family val="0"/>
          </rPr>
          <t>wiki.ru: 3 Ex.</t>
        </r>
      </text>
    </comment>
    <comment ref="AG26" authorId="0">
      <text>
        <r>
          <rPr>
            <sz val="10"/>
            <rFont val="Tahoma"/>
            <family val="0"/>
          </rPr>
          <t>wiki.ru: 717 Ex.</t>
        </r>
      </text>
    </comment>
    <comment ref="AH26" authorId="0">
      <text>
        <r>
          <rPr>
            <sz val="10"/>
            <rFont val="Tahoma"/>
            <family val="0"/>
          </rPr>
          <t>wiki.ru: 2.419 Ex.</t>
        </r>
      </text>
    </comment>
    <comment ref="AF26" authorId="0">
      <text>
        <r>
          <rPr>
            <sz val="10"/>
            <rFont val="Tahoma"/>
            <family val="0"/>
          </rPr>
          <t>wiki.ru: O</t>
        </r>
      </text>
    </comment>
    <comment ref="F4" authorId="0">
      <text>
        <r>
          <rPr>
            <sz val="10"/>
            <rFont val="Tahoma"/>
            <family val="0"/>
          </rPr>
          <t>98,4 x 108 mm</t>
        </r>
      </text>
    </comment>
    <comment ref="AB50" authorId="0">
      <text>
        <r>
          <rPr>
            <sz val="10"/>
            <rFont val="Tahoma"/>
            <family val="0"/>
          </rPr>
          <t xml:space="preserve">896 Stück
(wiki.ru.)
</t>
        </r>
      </text>
    </comment>
    <comment ref="AJ21" authorId="0">
      <text>
        <r>
          <rPr>
            <sz val="10"/>
            <rFont val="Tahoma"/>
            <family val="0"/>
          </rPr>
          <t>Daschko. Legkowye S.60</t>
        </r>
      </text>
    </comment>
    <comment ref="F8" authorId="0">
      <text>
        <r>
          <rPr>
            <sz val="10"/>
            <rFont val="Tahoma"/>
            <family val="0"/>
          </rPr>
          <t>62 x 100 mm</t>
        </r>
      </text>
    </comment>
    <comment ref="F9" authorId="0">
      <text>
        <r>
          <rPr>
            <sz val="10"/>
            <rFont val="Tahoma"/>
            <family val="0"/>
          </rPr>
          <t>63,5 x 92,5 mm</t>
        </r>
      </text>
    </comment>
    <comment ref="F16" authorId="0">
      <text>
        <r>
          <rPr>
            <sz val="10"/>
            <rFont val="Tahoma"/>
            <family val="0"/>
          </rPr>
          <t>82 x 110 mm</t>
        </r>
      </text>
    </comment>
    <comment ref="X29" authorId="0">
      <text>
        <r>
          <rPr>
            <sz val="10"/>
            <rFont val="Tahoma"/>
            <family val="2"/>
          </rPr>
          <t>davon 1 Pickup</t>
        </r>
      </text>
    </comment>
    <comment ref="B160" authorId="0">
      <text>
        <r>
          <rPr>
            <b/>
            <u val="single"/>
            <sz val="10"/>
            <rFont val="Tahoma"/>
            <family val="2"/>
          </rPr>
          <t>F</t>
        </r>
        <r>
          <rPr>
            <sz val="10"/>
            <rFont val="Tahoma"/>
            <family val="0"/>
          </rPr>
          <t xml:space="preserve">ord 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>schorsker Werk</t>
        </r>
      </text>
    </comment>
    <comment ref="F86" authorId="0">
      <text>
        <r>
          <rPr>
            <sz val="10"/>
            <rFont val="Tahoma"/>
            <family val="0"/>
          </rPr>
          <t>100 x 140 mm
AMO F-15</t>
        </r>
      </text>
    </comment>
    <comment ref="B8" authorId="0">
      <text>
        <r>
          <rPr>
            <b/>
            <u val="single"/>
            <sz val="10"/>
            <rFont val="Tahoma"/>
            <family val="2"/>
          </rPr>
          <t>n</t>
        </r>
        <r>
          <rPr>
            <sz val="10"/>
            <rFont val="Tahoma"/>
            <family val="0"/>
          </rPr>
          <t xml:space="preserve">autschnij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wto-
</t>
        </r>
        <r>
          <rPr>
            <b/>
            <u val="single"/>
            <sz val="10"/>
            <rFont val="Tahoma"/>
            <family val="2"/>
          </rPr>
          <t>t</t>
        </r>
        <r>
          <rPr>
            <sz val="10"/>
            <rFont val="Tahoma"/>
            <family val="0"/>
          </rPr>
          <t xml:space="preserve">raktornij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>nstitut</t>
        </r>
      </text>
    </comment>
    <comment ref="B7" authorId="0">
      <text>
        <r>
          <rPr>
            <b/>
            <u val="single"/>
            <sz val="10"/>
            <rFont val="Tahoma"/>
            <family val="2"/>
          </rPr>
          <t>n</t>
        </r>
        <r>
          <rPr>
            <sz val="10"/>
            <rFont val="Tahoma"/>
            <family val="0"/>
          </rPr>
          <t xml:space="preserve">autschnij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wtomobilnij i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 xml:space="preserve">otornij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>nstitut</t>
        </r>
      </text>
    </comment>
    <comment ref="B9" authorId="0">
      <text>
        <r>
          <rPr>
            <b/>
            <u val="single"/>
            <sz val="10"/>
            <rFont val="Tahoma"/>
            <family val="2"/>
          </rPr>
          <t>K</t>
        </r>
        <r>
          <rPr>
            <sz val="10"/>
            <rFont val="Tahoma"/>
            <family val="0"/>
          </rPr>
          <t xml:space="preserve">ommunistitscheskij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nternational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>olodjoshi</t>
        </r>
      </text>
    </comment>
    <comment ref="B37" authorId="0">
      <text>
        <r>
          <rPr>
            <sz val="10"/>
            <rFont val="Tahoma"/>
            <family val="0"/>
          </rPr>
          <t>Kommunistitscheskij
international
molodjoshi</t>
        </r>
      </text>
    </comment>
    <comment ref="B4" authorId="0">
      <text>
        <r>
          <rPr>
            <b/>
            <u val="single"/>
            <sz val="10"/>
            <rFont val="Tahoma"/>
            <family val="2"/>
          </rPr>
          <t>K</t>
        </r>
        <r>
          <rPr>
            <sz val="10"/>
            <rFont val="Tahoma"/>
            <family val="0"/>
          </rPr>
          <t xml:space="preserve">ommunistitscheskij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nternational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>olodjoshi</t>
        </r>
      </text>
    </comment>
    <comment ref="B28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awod
</t>
        </r>
        <r>
          <rPr>
            <b/>
            <u val="single"/>
            <sz val="10"/>
            <rFont val="Tahoma"/>
            <family val="2"/>
          </rPr>
          <t>i</t>
        </r>
        <r>
          <rPr>
            <sz val="10"/>
            <rFont val="Tahoma"/>
            <family val="0"/>
          </rPr>
          <t xml:space="preserve">meni
</t>
        </r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>talina</t>
        </r>
      </text>
    </comment>
    <comment ref="B59" authorId="0">
      <text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wtomobilnoje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 xml:space="preserve">oskowskoje
</t>
        </r>
        <r>
          <rPr>
            <b/>
            <u val="single"/>
            <sz val="10"/>
            <rFont val="Tahoma"/>
            <family val="2"/>
          </rPr>
          <t>O</t>
        </r>
        <r>
          <rPr>
            <sz val="10"/>
            <rFont val="Tahoma"/>
            <family val="0"/>
          </rPr>
          <t>bschtschestwo</t>
        </r>
      </text>
    </comment>
    <comment ref="AL59" authorId="0">
      <text>
        <r>
          <rPr>
            <sz val="10"/>
            <rFont val="Tahoma"/>
            <family val="0"/>
          </rPr>
          <t>Daschko</t>
        </r>
      </text>
    </comment>
    <comment ref="B45" authorId="0">
      <text>
        <r>
          <rPr>
            <sz val="10"/>
            <rFont val="Tahoma"/>
            <family val="0"/>
          </rPr>
          <t>Kipper</t>
        </r>
      </text>
    </comment>
    <comment ref="B74" authorId="0">
      <text>
        <r>
          <rPr>
            <sz val="10"/>
            <rFont val="Tahoma"/>
            <family val="0"/>
          </rPr>
          <t>verläng. Radst.</t>
        </r>
      </text>
    </comment>
    <comment ref="F124" authorId="0">
      <text>
        <r>
          <rPr>
            <sz val="10"/>
            <rFont val="Tahoma"/>
            <family val="2"/>
          </rPr>
          <t>150 x 180 mm</t>
        </r>
      </text>
    </comment>
    <comment ref="Z127" authorId="0">
      <text>
        <r>
          <rPr>
            <sz val="10"/>
            <rFont val="Tahoma"/>
            <family val="0"/>
          </rPr>
          <t>5.000 bis 27.12.37
(berkovich-zametki.com.)</t>
        </r>
      </text>
    </comment>
    <comment ref="Y125" authorId="0">
      <text>
        <r>
          <rPr>
            <sz val="10"/>
            <rFont val="Tahoma"/>
            <family val="0"/>
          </rPr>
          <t>29.059 Ketttentrakt.
(berkovich-zametki.com.)</t>
        </r>
      </text>
    </comment>
    <comment ref="P154" authorId="0">
      <text>
        <r>
          <rPr>
            <sz val="10"/>
            <rFont val="Tahoma"/>
            <family val="0"/>
          </rPr>
          <t>2.849 russ.Trakroren i.D.</t>
        </r>
      </text>
    </comment>
    <comment ref="D110" authorId="0">
      <text>
        <r>
          <rPr>
            <sz val="10"/>
            <rFont val="Tahoma"/>
            <family val="0"/>
          </rPr>
          <t>Karlik 1: 3rad
Karlik 2: 4rad</t>
        </r>
      </text>
    </comment>
    <comment ref="AH31" authorId="0">
      <text>
        <r>
          <rPr>
            <sz val="10"/>
            <rFont val="Tahoma"/>
            <family val="0"/>
          </rPr>
          <t>Thompson, Trucks: 5.382 Ex.</t>
        </r>
      </text>
    </comment>
    <comment ref="N102" authorId="0">
      <text>
        <r>
          <rPr>
            <sz val="10"/>
            <rFont val="Tahoma"/>
            <family val="0"/>
          </rPr>
          <t>Thompson: 116</t>
        </r>
      </text>
    </comment>
    <comment ref="Y102" authorId="0">
      <text>
        <r>
          <rPr>
            <sz val="10"/>
            <rFont val="Tahoma"/>
            <family val="0"/>
          </rPr>
          <t>Thompson: 131.546</t>
        </r>
      </text>
    </comment>
    <comment ref="AE102" authorId="0">
      <text>
        <r>
          <rPr>
            <sz val="10"/>
            <rFont val="Tahoma"/>
            <family val="0"/>
          </rPr>
          <t>Thompson: 116.169</t>
        </r>
      </text>
    </comment>
    <comment ref="AE103" authorId="0">
      <text>
        <r>
          <rPr>
            <sz val="10"/>
            <rFont val="Tahoma"/>
            <family val="0"/>
          </rPr>
          <t>Thompson: 3.980</t>
        </r>
      </text>
    </comment>
    <comment ref="P31" authorId="0">
      <text>
        <r>
          <rPr>
            <sz val="10"/>
            <rFont val="Tahoma"/>
            <family val="0"/>
          </rPr>
          <t>Thompson, Trucks: 3 Ex.</t>
        </r>
      </text>
    </comment>
    <comment ref="AE31" authorId="0">
      <text>
        <r>
          <rPr>
            <sz val="10"/>
            <rFont val="Tahoma"/>
            <family val="0"/>
          </rPr>
          <t>Thompson, Trucks: 4.027</t>
        </r>
      </text>
    </comment>
    <comment ref="D2" authorId="0">
      <text>
        <r>
          <rPr>
            <sz val="10"/>
            <rFont val="Tahoma"/>
            <family val="0"/>
          </rPr>
          <t>Radstand
wheelbase
empattement</t>
        </r>
      </text>
    </comment>
    <comment ref="G49" authorId="0">
      <text>
        <r>
          <rPr>
            <sz val="10"/>
            <rFont val="Tahoma"/>
            <family val="0"/>
          </rPr>
          <t>42, sp. 50 PS</t>
        </r>
      </text>
    </comment>
    <comment ref="G45" authorId="0">
      <text>
        <r>
          <rPr>
            <sz val="10"/>
            <rFont val="Tahoma"/>
            <family val="0"/>
          </rPr>
          <t>42, sp. 50 PS</t>
        </r>
      </text>
    </comment>
    <comment ref="G44" authorId="0">
      <text>
        <r>
          <rPr>
            <sz val="10"/>
            <rFont val="Tahoma"/>
            <family val="0"/>
          </rPr>
          <t>42, sp. 50 PS</t>
        </r>
      </text>
    </comment>
    <comment ref="G113" authorId="0">
      <text>
        <r>
          <rPr>
            <sz val="10"/>
            <rFont val="Tahoma"/>
            <family val="0"/>
          </rPr>
          <t>20-25 PS</t>
        </r>
      </text>
    </comment>
    <comment ref="G114" authorId="0">
      <text>
        <r>
          <rPr>
            <sz val="10"/>
            <rFont val="Tahoma"/>
            <family val="0"/>
          </rPr>
          <t>20-22 PS</t>
        </r>
      </text>
    </comment>
    <comment ref="G146" authorId="0">
      <text>
        <r>
          <rPr>
            <sz val="10"/>
            <rFont val="Tahoma"/>
            <family val="0"/>
          </rPr>
          <t>300 - 500 PS</t>
        </r>
      </text>
    </comment>
    <comment ref="AC64" authorId="0">
      <text>
        <r>
          <rPr>
            <sz val="10"/>
            <rFont val="Tahoma"/>
            <family val="0"/>
          </rPr>
          <t>?</t>
        </r>
      </text>
    </comment>
    <comment ref="F120" authorId="0">
      <text>
        <r>
          <rPr>
            <sz val="10"/>
            <rFont val="Tahoma"/>
            <family val="2"/>
          </rPr>
          <t xml:space="preserve">72 x 110 mm </t>
        </r>
      </text>
    </comment>
    <comment ref="F193" authorId="0">
      <text>
        <r>
          <rPr>
            <sz val="10"/>
            <rFont val="Tahoma"/>
            <family val="0"/>
          </rPr>
          <t>98,4 x 108 mm</t>
        </r>
      </text>
    </comment>
    <comment ref="AH133" authorId="0">
      <text>
        <r>
          <rPr>
            <sz val="10"/>
            <rFont val="Tahoma"/>
            <family val="0"/>
          </rPr>
          <t>wiki.de</t>
        </r>
      </text>
    </comment>
    <comment ref="F47" authorId="0">
      <text>
        <r>
          <rPr>
            <sz val="10"/>
            <rFont val="Tahoma"/>
            <family val="0"/>
          </rPr>
          <t>98,4 x 108 mm</t>
        </r>
      </text>
    </comment>
    <comment ref="F48" authorId="0">
      <text>
        <r>
          <rPr>
            <sz val="10"/>
            <rFont val="Tahoma"/>
            <family val="0"/>
          </rPr>
          <t>98,4 x 108 mm</t>
        </r>
      </text>
    </comment>
    <comment ref="T124" authorId="0">
      <text>
        <r>
          <rPr>
            <sz val="10"/>
            <rFont val="Tahoma"/>
            <family val="0"/>
          </rPr>
          <t xml:space="preserve">3 mit 110 PS 
(USAF RM1121)
</t>
        </r>
      </text>
    </comment>
    <comment ref="Q118" authorId="0">
      <text>
        <r>
          <rPr>
            <sz val="10"/>
            <rFont val="Tahoma"/>
            <family val="0"/>
          </rPr>
          <t>1115 Ex.(USAF RM1121 S.46)</t>
        </r>
      </text>
    </comment>
    <comment ref="R118" authorId="0">
      <text>
        <r>
          <rPr>
            <sz val="10"/>
            <rFont val="Tahoma"/>
            <family val="0"/>
          </rPr>
          <t>3.040 Ex.
(USAF RM1121 S.46)</t>
        </r>
      </text>
    </comment>
    <comment ref="R113" authorId="0">
      <text>
        <r>
          <rPr>
            <sz val="10"/>
            <rFont val="Tahoma"/>
            <family val="0"/>
          </rPr>
          <t>2.500 (Siemer)
3.040(USAF RM1121 S.46.)</t>
        </r>
      </text>
    </comment>
    <comment ref="S113" authorId="0">
      <text>
        <r>
          <rPr>
            <sz val="10"/>
            <rFont val="Tahoma"/>
            <family val="0"/>
          </rPr>
          <t>6200 (Siemer)
8536 (USAF RM1121 S.46)</t>
        </r>
      </text>
    </comment>
    <comment ref="T113" authorId="0">
      <text>
        <r>
          <rPr>
            <sz val="10"/>
            <rFont val="Tahoma"/>
            <family val="0"/>
          </rPr>
          <t>18.974 (USAF RM1121 S.46)</t>
        </r>
      </text>
    </comment>
    <comment ref="U113" authorId="0">
      <text>
        <r>
          <rPr>
            <sz val="10"/>
            <rFont val="Tahoma"/>
            <family val="0"/>
          </rPr>
          <t>4220 USAF RM1121 S.46)</t>
        </r>
      </text>
    </comment>
    <comment ref="V113" authorId="0">
      <text>
        <r>
          <rPr>
            <sz val="10"/>
            <rFont val="Tahoma"/>
            <family val="0"/>
          </rPr>
          <t>5882 (Siemer)
4468(USAF RM1121 S.46)</t>
        </r>
      </text>
    </comment>
    <comment ref="Q113" authorId="0">
      <text>
        <r>
          <rPr>
            <sz val="10"/>
            <rFont val="Tahoma"/>
            <family val="0"/>
          </rPr>
          <t>775 (Siemer)
1.115 (USAF RM1121 S.46)</t>
        </r>
      </text>
    </comment>
    <comment ref="F123" authorId="0">
      <text>
        <r>
          <rPr>
            <sz val="10"/>
            <rFont val="Tahoma"/>
            <family val="2"/>
          </rPr>
          <t>150 x 180 mm</t>
        </r>
      </text>
    </comment>
    <comment ref="F122" authorId="0">
      <text>
        <r>
          <rPr>
            <sz val="10"/>
            <rFont val="Tahoma"/>
            <family val="2"/>
          </rPr>
          <t>150 x 180 mm</t>
        </r>
      </text>
    </comment>
    <comment ref="F132" authorId="0">
      <text>
        <r>
          <rPr>
            <sz val="10"/>
            <rFont val="Tahoma"/>
            <family val="0"/>
          </rPr>
          <t>125 x 152 mm</t>
        </r>
      </text>
    </comment>
    <comment ref="N122" authorId="0">
      <text>
        <r>
          <rPr>
            <sz val="10"/>
            <rFont val="Tahoma"/>
            <family val="0"/>
          </rPr>
          <t>Kirindas: 62</t>
        </r>
      </text>
    </comment>
    <comment ref="O122" authorId="0">
      <text>
        <r>
          <rPr>
            <sz val="10"/>
            <rFont val="Tahoma"/>
            <family val="0"/>
          </rPr>
          <t>Kirindas: 98</t>
        </r>
      </text>
    </comment>
    <comment ref="P122" authorId="0">
      <text>
        <r>
          <rPr>
            <sz val="10"/>
            <rFont val="Tahoma"/>
            <family val="0"/>
          </rPr>
          <t>Kirindas: 103</t>
        </r>
      </text>
    </comment>
    <comment ref="Q122" authorId="0">
      <text>
        <r>
          <rPr>
            <sz val="10"/>
            <rFont val="Tahoma"/>
            <family val="0"/>
          </rPr>
          <t>Kirindas: 108</t>
        </r>
      </text>
    </comment>
    <comment ref="R122" authorId="0">
      <text>
        <r>
          <rPr>
            <sz val="10"/>
            <rFont val="Tahoma"/>
            <family val="0"/>
          </rPr>
          <t>Kirindas: 273</t>
        </r>
      </text>
    </comment>
    <comment ref="S122" authorId="0">
      <text>
        <r>
          <rPr>
            <sz val="10"/>
            <rFont val="Tahoma"/>
            <family val="0"/>
          </rPr>
          <t>Kirindas: 714</t>
        </r>
      </text>
    </comment>
    <comment ref="T122" authorId="0">
      <text>
        <r>
          <rPr>
            <sz val="10"/>
            <rFont val="Tahoma"/>
            <family val="0"/>
          </rPr>
          <t>Kirindas: 614 (alle)</t>
        </r>
      </text>
    </comment>
    <comment ref="U124" authorId="0">
      <text>
        <r>
          <rPr>
            <sz val="10"/>
            <rFont val="Tahoma"/>
            <family val="0"/>
          </rPr>
          <t>Kirindas: 400</t>
        </r>
      </text>
    </comment>
    <comment ref="V124" authorId="0">
      <text>
        <r>
          <rPr>
            <sz val="10"/>
            <rFont val="Tahoma"/>
            <family val="0"/>
          </rPr>
          <t>Kirindas: 325</t>
        </r>
      </text>
    </comment>
    <comment ref="W124" authorId="0">
      <text>
        <r>
          <rPr>
            <sz val="10"/>
            <rFont val="Tahoma"/>
            <family val="0"/>
          </rPr>
          <t>Kirindas: 473</t>
        </r>
      </text>
    </comment>
    <comment ref="X124" authorId="0">
      <text>
        <r>
          <rPr>
            <sz val="10"/>
            <rFont val="Tahoma"/>
            <family val="0"/>
          </rPr>
          <t>Kirindas: 317</t>
        </r>
      </text>
    </comment>
    <comment ref="AL123" authorId="0">
      <text>
        <r>
          <rPr>
            <sz val="10"/>
            <rFont val="Tahoma"/>
            <family val="0"/>
          </rPr>
          <t>alle Var., Kirindas, Komintern S.68</t>
        </r>
      </text>
    </comment>
    <comment ref="F135" authorId="0">
      <text>
        <r>
          <rPr>
            <sz val="10"/>
            <rFont val="Tahoma"/>
            <family val="2"/>
          </rPr>
          <t xml:space="preserve">188 x 200 mm </t>
        </r>
      </text>
    </comment>
    <comment ref="F121" authorId="0">
      <text>
        <r>
          <rPr>
            <sz val="10"/>
            <rFont val="Tahoma"/>
            <family val="2"/>
          </rPr>
          <t xml:space="preserve"> 95 x 130 mm </t>
        </r>
      </text>
    </comment>
    <comment ref="AL124" authorId="0">
      <text>
        <r>
          <rPr>
            <sz val="10"/>
            <rFont val="Tahoma"/>
            <family val="0"/>
          </rPr>
          <t>nach  USAF RM1121 S.46</t>
        </r>
      </text>
    </comment>
    <comment ref="AI165" authorId="0">
      <text>
        <r>
          <rPr>
            <sz val="10"/>
            <rFont val="Tahoma"/>
            <family val="0"/>
          </rPr>
          <t>952 incl. Funk bis 5.45</t>
        </r>
      </text>
    </comment>
    <comment ref="C35" authorId="0">
      <text>
        <r>
          <rPr>
            <sz val="10"/>
            <rFont val="Tahoma"/>
            <family val="0"/>
          </rPr>
          <t>grün = Militär-Typ</t>
        </r>
      </text>
    </comment>
    <comment ref="C107" authorId="0">
      <text>
        <r>
          <rPr>
            <sz val="10"/>
            <rFont val="Tahoma"/>
            <family val="0"/>
          </rPr>
          <t>grün = Militär-Typ</t>
        </r>
      </text>
    </comment>
    <comment ref="AG165" authorId="0">
      <text>
        <r>
          <rPr>
            <sz val="10"/>
            <rFont val="Tahoma"/>
            <family val="0"/>
          </rPr>
          <t>davon 1 BA-64D (mit MG DSchK)
davon 5 BA-64E
(mit 6 Schützen)</t>
        </r>
      </text>
    </comment>
    <comment ref="AE209" authorId="0">
      <text>
        <r>
          <rPr>
            <sz val="10"/>
            <rFont val="Tahoma"/>
            <family val="0"/>
          </rPr>
          <t>7.: 15
8.: 36
12. (Omsk): 10</t>
        </r>
      </text>
    </comment>
  </commentList>
</comments>
</file>

<file path=xl/sharedStrings.xml><?xml version="1.0" encoding="utf-8"?>
<sst xmlns="http://schemas.openxmlformats.org/spreadsheetml/2006/main" count="784" uniqueCount="492">
  <si>
    <t>x</t>
  </si>
  <si>
    <r>
      <t>S</t>
    </r>
    <r>
      <rPr>
        <b/>
        <sz val="10"/>
        <rFont val="Arial"/>
        <family val="2"/>
      </rPr>
      <t>.</t>
    </r>
  </si>
  <si>
    <t>A</t>
  </si>
  <si>
    <t>Bem.</t>
  </si>
  <si>
    <t xml:space="preserve">PS </t>
  </si>
  <si>
    <t>ccm</t>
  </si>
  <si>
    <t>Z</t>
  </si>
  <si>
    <t>to</t>
  </si>
  <si>
    <t>Typ</t>
  </si>
  <si>
    <t>LKW</t>
  </si>
  <si>
    <t>152mm KH 37</t>
  </si>
  <si>
    <t>122mm K</t>
  </si>
  <si>
    <t>T-35</t>
  </si>
  <si>
    <t>T-28</t>
  </si>
  <si>
    <t>T-24</t>
  </si>
  <si>
    <t>SU-100</t>
  </si>
  <si>
    <t>SU-85 M</t>
  </si>
  <si>
    <t>SU-85</t>
  </si>
  <si>
    <t>T-44</t>
  </si>
  <si>
    <t>T-34/85</t>
  </si>
  <si>
    <t>Prod. ab '40 in Charkow, später UralMaschSawod</t>
  </si>
  <si>
    <t>T-34</t>
  </si>
  <si>
    <t>BT-7A</t>
  </si>
  <si>
    <t>BT-7</t>
  </si>
  <si>
    <t>BT-5</t>
  </si>
  <si>
    <t>BT-2</t>
  </si>
  <si>
    <t>TT-TU</t>
  </si>
  <si>
    <t>T-26 /P 40</t>
  </si>
  <si>
    <t>ST-26</t>
  </si>
  <si>
    <t>OT-26</t>
  </si>
  <si>
    <t>T-80</t>
  </si>
  <si>
    <t>ST3/45mmPak</t>
  </si>
  <si>
    <t>T-50</t>
  </si>
  <si>
    <t>T-40</t>
  </si>
  <si>
    <t>T-38</t>
  </si>
  <si>
    <t>OT-37</t>
  </si>
  <si>
    <t>T-37 A</t>
  </si>
  <si>
    <t>T-37</t>
  </si>
  <si>
    <t>XT-27</t>
  </si>
  <si>
    <t>T-27</t>
  </si>
  <si>
    <t>MS-1, T-18</t>
  </si>
  <si>
    <t>KS/Russki Renault</t>
  </si>
  <si>
    <t>Panzer</t>
  </si>
  <si>
    <t>1941/II</t>
  </si>
  <si>
    <t>1941/I</t>
  </si>
  <si>
    <t>GesGewicht (to)</t>
  </si>
  <si>
    <t>BA-10/32 (203 r)</t>
  </si>
  <si>
    <t>BA-6</t>
  </si>
  <si>
    <t>BA-3</t>
  </si>
  <si>
    <t>Broniefd.=BA 20(202r)</t>
  </si>
  <si>
    <t>FAI</t>
  </si>
  <si>
    <t>D-12</t>
  </si>
  <si>
    <t>D-8</t>
  </si>
  <si>
    <t>Radschlepper:</t>
  </si>
  <si>
    <t>Woroschilowjez</t>
  </si>
  <si>
    <t>Komintern</t>
  </si>
  <si>
    <t xml:space="preserve">T-26 T </t>
  </si>
  <si>
    <t>Stalinez S-2</t>
  </si>
  <si>
    <t>Stalinez S-60</t>
  </si>
  <si>
    <t>AMO-3/SIS-3</t>
  </si>
  <si>
    <t>AMO-2</t>
  </si>
  <si>
    <t>GAS-MM</t>
  </si>
  <si>
    <t>GAS-AA</t>
  </si>
  <si>
    <t>Differenz</t>
  </si>
  <si>
    <t>Krasny Putilowez L-1</t>
  </si>
  <si>
    <t>keine Serie (Schugurow)</t>
  </si>
  <si>
    <t>NATI</t>
  </si>
  <si>
    <t>V2</t>
  </si>
  <si>
    <t>NAMI</t>
  </si>
  <si>
    <t>PKW</t>
  </si>
  <si>
    <t>1933: 6 (Buick-Nachbau, Schugorow S.93)</t>
  </si>
  <si>
    <t>10 Ex., 1942 (Schug.S.168)</t>
  </si>
  <si>
    <t>GAS, 7.41 - 5.45: 102.300 Autos</t>
  </si>
  <si>
    <t>B</t>
  </si>
  <si>
    <t>H</t>
  </si>
  <si>
    <t>a.A.</t>
  </si>
  <si>
    <t>Bemerkungen</t>
  </si>
  <si>
    <t>Panzerspähwagen:</t>
  </si>
  <si>
    <t>statistisch</t>
  </si>
  <si>
    <t>Ellis, WW II data Book</t>
  </si>
  <si>
    <t>Militär-LKW</t>
  </si>
  <si>
    <t>NATI Pionier</t>
  </si>
  <si>
    <r>
      <t>K</t>
    </r>
    <r>
      <rPr>
        <i/>
        <sz val="8"/>
        <rFont val="Arial"/>
        <family val="2"/>
      </rPr>
      <t>4</t>
    </r>
  </si>
  <si>
    <t>R 6</t>
  </si>
  <si>
    <t>K 14</t>
  </si>
  <si>
    <t>K 7</t>
  </si>
  <si>
    <t>K19</t>
  </si>
  <si>
    <t>K 8</t>
  </si>
  <si>
    <t>K 22</t>
  </si>
  <si>
    <t>K 5</t>
  </si>
  <si>
    <t>T-26 eintürmig</t>
  </si>
  <si>
    <t>T-26 zweitürmig</t>
  </si>
  <si>
    <t>GAS-A</t>
  </si>
  <si>
    <t>S.</t>
  </si>
  <si>
    <t>Kettenschlepper:</t>
  </si>
  <si>
    <t>Schlepper (Kette u. Rad):</t>
  </si>
  <si>
    <t>SS.</t>
  </si>
  <si>
    <r>
      <t xml:space="preserve">K </t>
    </r>
    <r>
      <rPr>
        <i/>
        <sz val="8"/>
        <rFont val="Arial"/>
        <family val="2"/>
      </rPr>
      <t>2</t>
    </r>
  </si>
  <si>
    <r>
      <t xml:space="preserve">K </t>
    </r>
    <r>
      <rPr>
        <i/>
        <sz val="8"/>
        <rFont val="Arial"/>
        <family val="2"/>
      </rPr>
      <t>3</t>
    </r>
  </si>
  <si>
    <r>
      <t xml:space="preserve">K </t>
    </r>
    <r>
      <rPr>
        <i/>
        <sz val="8"/>
        <rFont val="Arial"/>
        <family val="2"/>
      </rPr>
      <t>12</t>
    </r>
  </si>
  <si>
    <t>?</t>
  </si>
  <si>
    <t>rechnerisch</t>
  </si>
  <si>
    <t xml:space="preserve">LKW und Busse </t>
  </si>
  <si>
    <t xml:space="preserve">LKW </t>
  </si>
  <si>
    <t xml:space="preserve">Busse </t>
  </si>
  <si>
    <t>Rußland</t>
  </si>
  <si>
    <t>H1,5</t>
  </si>
  <si>
    <t>PKW in Prozent der Gesamtprod. (PKW + LKW)</t>
  </si>
  <si>
    <t>T 26 und Abarten</t>
  </si>
  <si>
    <t>BT und Abarten</t>
  </si>
  <si>
    <t>T-34 und Abarten</t>
  </si>
  <si>
    <t>T 27,37/8,40,60</t>
  </si>
  <si>
    <t>stat.-rechn.</t>
  </si>
  <si>
    <t>schwere Panzer</t>
  </si>
  <si>
    <t>Schugorow, Awt. Ros., S.74, 160, 174</t>
  </si>
  <si>
    <t>Schugorow, Awt. Ros. S.74, 160, 174//197.100 Ex. 7.41 - 45 (www.)</t>
  </si>
  <si>
    <t>Schugorow, Awt. Ros. S.74, 160, 174</t>
  </si>
  <si>
    <t>Basis Pz.T60, 3.43: 5 Prot., 5.43: 50 Ex.</t>
  </si>
  <si>
    <t>Jaroslawl</t>
  </si>
  <si>
    <t>aus Pz.T-37, 1936: 50 Ex. in Werk Nr.37</t>
  </si>
  <si>
    <t>Stalingrad</t>
  </si>
  <si>
    <t>Charkow</t>
  </si>
  <si>
    <t>Tscheljabinsk</t>
  </si>
  <si>
    <t>Kolomna/Brjansk</t>
  </si>
  <si>
    <t>Fabrik</t>
  </si>
  <si>
    <t>Gorki</t>
  </si>
  <si>
    <t>FordA-Nachbau, 32-6:41.917 Ex.,</t>
  </si>
  <si>
    <t>Leningrad</t>
  </si>
  <si>
    <t>Ford AA-Kopie, 20.6.41: 151.100 Ex.rote Armee//32-8: 409.985 (www.kfz.d.Wm.)</t>
  </si>
  <si>
    <t>Moskau</t>
  </si>
  <si>
    <t>4x2, 10.31 -(Schugurow S.78)</t>
  </si>
  <si>
    <t xml:space="preserve">Prombron </t>
  </si>
  <si>
    <t>Charkow/Stalingr.</t>
  </si>
  <si>
    <t>Saporoschje</t>
  </si>
  <si>
    <t>CharkowLok.Wk.</t>
  </si>
  <si>
    <t>ATZ-5</t>
  </si>
  <si>
    <t>Altaj (Rubzowsk)</t>
  </si>
  <si>
    <t>1937-41: knapp 16.000 (Dupouy S.54//)Charkow: 37-41,44-49</t>
  </si>
  <si>
    <t>Fili</t>
  </si>
  <si>
    <t>Moskau, Wk 37</t>
  </si>
  <si>
    <t>3,7 Flak</t>
  </si>
  <si>
    <t>7,62 cm Kan.</t>
  </si>
  <si>
    <t>RSt</t>
  </si>
  <si>
    <t>Bolschewik</t>
  </si>
  <si>
    <t>ChTZ-3 - NATI</t>
  </si>
  <si>
    <t>Schlepper :</t>
  </si>
  <si>
    <t>Leningr., Wk.174</t>
  </si>
  <si>
    <t>GAS-4 (Pickup)</t>
  </si>
  <si>
    <t>GAS-61-73 (Lim.4x4)</t>
  </si>
  <si>
    <t>GAS-AAA (6x4)</t>
  </si>
  <si>
    <t>SIS-6  (6x4)</t>
  </si>
  <si>
    <t>PKW:</t>
  </si>
  <si>
    <t>Renault FT-17-Nachbau, Leningrad geb.</t>
  </si>
  <si>
    <t>verbess. Ren.FT-17, Leningrad geb., 1927: Pr.:T-16, 960 x (28-31), 1932 a.D., 7.41: ca.200 U:SFL 45mm(Foss,Tanks)</t>
  </si>
  <si>
    <t xml:space="preserve">Charkow geb., </t>
  </si>
  <si>
    <t xml:space="preserve">Swerdlowsk geb., </t>
  </si>
  <si>
    <t>Swerdlowsk geb., ab Mi.43, UralMaschsawod</t>
  </si>
  <si>
    <t xml:space="preserve">Tscheljabinsk geb., </t>
  </si>
  <si>
    <t>Tscheljabinsk geb., Pr.:9.39, Prod. ab 2.40 Leningr.bis 9.41, dann Tscheljabinsk</t>
  </si>
  <si>
    <t>Tscheljabinsk geb., 152mm KH 37</t>
  </si>
  <si>
    <t>Tscheljabinsk geb., Kirow-Werke</t>
  </si>
  <si>
    <t>85mm</t>
  </si>
  <si>
    <t>MG</t>
  </si>
  <si>
    <t>FlWf</t>
  </si>
  <si>
    <t>45mmK</t>
  </si>
  <si>
    <t>57mmK</t>
  </si>
  <si>
    <t>76,2mmFK (SFL)</t>
  </si>
  <si>
    <t>100mm</t>
  </si>
  <si>
    <t>76,2mm</t>
  </si>
  <si>
    <t>12,7MG</t>
  </si>
  <si>
    <t>37mm</t>
  </si>
  <si>
    <t>2MG</t>
  </si>
  <si>
    <t>76,2mm, 2MG</t>
  </si>
  <si>
    <t>1x76,2; 2x45</t>
  </si>
  <si>
    <t>37mm Fla/AA</t>
  </si>
  <si>
    <t>20mm</t>
  </si>
  <si>
    <t>Notbehelf, überpanzerter Kettenschl. ST-3 mit Pak</t>
  </si>
  <si>
    <t>leichte Panzer, Tanketten:</t>
  </si>
  <si>
    <t>mittlere Panzer:</t>
  </si>
  <si>
    <t>schwere Panzer:</t>
  </si>
  <si>
    <t>D-13</t>
  </si>
  <si>
    <r>
      <t xml:space="preserve">4x2, E.27:54 i.D., </t>
    </r>
    <r>
      <rPr>
        <sz val="8"/>
        <rFont val="Symbol"/>
        <family val="1"/>
      </rPr>
      <t>S</t>
    </r>
    <r>
      <rPr>
        <sz val="8"/>
        <rFont val="Arial"/>
        <family val="2"/>
      </rPr>
      <t>.ca.300 (Foss, tanks), AMO, Moskau geb.//27-31: 116 Ex. (otetschestw.  S.291) od.195 Ex.(S.316)//6.41: 195 i.E. (ot. I S.18)</t>
    </r>
  </si>
  <si>
    <t>45mmK, MG</t>
  </si>
  <si>
    <t>76,2mmHb.M27</t>
  </si>
  <si>
    <t>BT-7M, BT-8</t>
  </si>
  <si>
    <t>BT-5RT ("PT")</t>
  </si>
  <si>
    <t>BT-7RT ("PT")</t>
  </si>
  <si>
    <t>T 38 RT ("PT")</t>
  </si>
  <si>
    <t>V8</t>
  </si>
  <si>
    <t>3x1</t>
  </si>
  <si>
    <t>45mm</t>
  </si>
  <si>
    <r>
      <t xml:space="preserve">BA-64  </t>
    </r>
    <r>
      <rPr>
        <sz val="8"/>
        <rFont val="Arial"/>
        <family val="2"/>
      </rPr>
      <t>(4x4)</t>
    </r>
  </si>
  <si>
    <r>
      <t xml:space="preserve">BA-64 B   </t>
    </r>
    <r>
      <rPr>
        <sz val="8"/>
        <rFont val="Arial"/>
        <family val="2"/>
      </rPr>
      <t>(4x4)</t>
    </r>
  </si>
  <si>
    <r>
      <t xml:space="preserve">BA-27  </t>
    </r>
    <r>
      <rPr>
        <sz val="8"/>
        <rFont val="Arial"/>
        <family val="2"/>
      </rPr>
      <t>(4x2)</t>
    </r>
  </si>
  <si>
    <t>leichte:</t>
  </si>
  <si>
    <t>mittlere:</t>
  </si>
  <si>
    <t>ab 10.31, ab Mi.30erj. Auch Diesel, bis 37: 217.000 Ex. (Dupouy S.53)//</t>
  </si>
  <si>
    <t>Stalinez SG-60</t>
  </si>
  <si>
    <t>Wladimir</t>
  </si>
  <si>
    <t>BA-11</t>
  </si>
  <si>
    <t>UlSIS-5 B</t>
  </si>
  <si>
    <t>Miass</t>
  </si>
  <si>
    <t>6x4, 1934-41: 21.239 Ex.(wiki.ru. u.a.)</t>
  </si>
  <si>
    <t>S</t>
  </si>
  <si>
    <t>SIS-5 verlängert, 35-41: 4.223 Ex.  (www.kfz.d.Wm., wiki.ru.SIS5))</t>
  </si>
  <si>
    <t>SIS 11 mit Holzgaser, in 2 Jahren (39/40.?) kn. 900 (Schug.S.153)//36-9: 2.592 Ex. (wiki.ru.SIS5)</t>
  </si>
  <si>
    <t>SIS-14</t>
  </si>
  <si>
    <t>H2,5</t>
  </si>
  <si>
    <t>SIS-11 f.Export, 34: 821 Ex. (wiki.ru.SUS5), /</t>
  </si>
  <si>
    <t>Ford AA/BB 6x4, 1934-43: 37.373 Ex., +237 Stabs-Omnibusse (Schugorow S.131), abzgl. 3.331 BA6/BA10 (wiki.ru)</t>
  </si>
  <si>
    <r>
      <t>1937-41, unb.Stückz. (tygatschi)</t>
    </r>
    <r>
      <rPr>
        <sz val="8"/>
        <rFont val="Arial"/>
        <family val="2"/>
      </rPr>
      <t>//ca.22.000 (?) (autogall.)//38-41: 16.000 (wiki ru.)</t>
    </r>
  </si>
  <si>
    <t>Marxstadt</t>
  </si>
  <si>
    <t>Mamin Gnom</t>
  </si>
  <si>
    <t>Mamin Karlik</t>
  </si>
  <si>
    <t>KS-18/BChM-1</t>
  </si>
  <si>
    <t>BA-9</t>
  </si>
  <si>
    <t>12,7 MG</t>
  </si>
  <si>
    <t>6x4, Ford AAA-Chassis, 1937: 100 Ex.(wiki.ru.BA-6)</t>
  </si>
  <si>
    <t>6x4, Ford AAA-Chassis,1936-, ca.100 nach Sp.'38 (Foss, Tanks)//6.41: 248 i.E. (ot. I S.18), 386 Ex.36- (Ot.I S.320)//36-9: 425 Ex., 37 n.Sp., 79 an Mong.(wiki.ru)</t>
  </si>
  <si>
    <t>6x4, kleine Serie, Ford-Chassis, 1932-3 (Foss, Tanks)//33: 90 Ex. (otetsch,..)//6.41: 83 i.E. (ot. I S.18)// 32-4: 109 Ex. (wiki.ru)//5 an Mong.(wiki.ru.BA-6)</t>
  </si>
  <si>
    <r>
      <t xml:space="preserve">I.H.C.-TA-40-Kopie, f.Landwi., 1/4 f.Mil., Stalingr.37-42,44-49,  </t>
    </r>
    <r>
      <rPr>
        <sz val="8"/>
        <rFont val="Symbol"/>
        <family val="1"/>
      </rPr>
      <t>S</t>
    </r>
    <r>
      <rPr>
        <sz val="8"/>
        <rFont val="Arial"/>
        <family val="2"/>
      </rPr>
      <t>.210.744 alle Werke bis 1957//alle Werke, 37-52: 191.000 Ex. (wiki ru., avtomash.ru)</t>
    </r>
  </si>
  <si>
    <r>
      <t>SIS-5 als Sattelzugmaschine, 38-41: 766 Ex. (wiki.ru.SIS5)</t>
    </r>
    <r>
      <rPr>
        <i/>
        <sz val="8"/>
        <rFont val="Arial"/>
        <family val="2"/>
      </rPr>
      <t>//</t>
    </r>
  </si>
  <si>
    <t>Uljanowsk</t>
  </si>
  <si>
    <t>40-1: 200 Ex.(wiki.ru.SIS5)//38: 150 Ex., 40: 250 Ex. (wiki.de)</t>
  </si>
  <si>
    <t>Saporoschez</t>
  </si>
  <si>
    <t>Kolomenjez</t>
  </si>
  <si>
    <t>Fordson-Putilowjez</t>
  </si>
  <si>
    <t xml:space="preserve">STZ-5 </t>
  </si>
  <si>
    <t>BA-20 M</t>
  </si>
  <si>
    <t>SIS-5-Chassis, f.chem.Kriegsführung, 37-9: 94 Ex.(wiki.ru)// 36: 52 Ex.(Ot.S.334)</t>
  </si>
  <si>
    <t>)</t>
  </si>
  <si>
    <t>Reihenfolge: PKW, LKW, Rad-Zugmasch., Ketten-Zugmasch., Panzerspähwagen, Panzer</t>
  </si>
  <si>
    <t>Kraftfahrzeuge 1919 - 45</t>
  </si>
  <si>
    <t>Waffen</t>
  </si>
  <si>
    <t>nach N.Vc.218 S.21//211Ex.1934-9, auf Basis T-26-Pz.,  34-6:173+10, 37-39: 28//</t>
  </si>
  <si>
    <t>Ford B 4x4, 1941-3, //1941: 181 (www.kfz.d.Wm.)//SchugurowS.141: 41:ca.400//41-45(autogallery)//einige hundert -43 (Dupouy, GAZ II S.45)//194 Lim., 2 Pickup, 36Zgkw=232Ex (wiki.ru.)</t>
  </si>
  <si>
    <t>Swerdlowsk geb., ab 9.44 statt SU-85, UralMaschSawod</t>
  </si>
  <si>
    <t xml:space="preserve">SIS-12 </t>
  </si>
  <si>
    <t xml:space="preserve">SIS-11 </t>
  </si>
  <si>
    <t>SIS-5 verläng./Feuerwehr, 34-41: 3.047 (www.kfz.d.Wm.)//34-6: dito (wiki.ru.SIS-5)</t>
  </si>
  <si>
    <t>AMO-4</t>
  </si>
  <si>
    <t>B22</t>
  </si>
  <si>
    <t>B17</t>
  </si>
  <si>
    <t>Kopie Ford Ten, Zahlen nach wiki.ru// 450 Ex. 40-6.41 (Dupoy, Dossier 28 S.11)//ca.500 (GBE)</t>
  </si>
  <si>
    <t>Ishorsk geb.,4x2, Prot.:32, 1933-36:676 Ex., Basis Ford A//6.41: 416 i.E. (ot. I S.18, 298)// Zahlen nach wiki.ru</t>
  </si>
  <si>
    <t>Zahlen nach wiki.ru, dazu 39-41: 74 o.76 Eisenbahn-Draisinen//</t>
  </si>
  <si>
    <t>Zahlen nach wiki.ru, dazu 38-9: 61 Eisenb.-Drais.//Wyksinsk geb., 4x2, Heigl Bd.II, Spielb. S.261/2: bis 1942 i.E., Prod.ab'32, Gorki (Milsom)//www.: 2.046 x BA-20 (36-8) + 2.013 Ex. BA-20M (38 - A.42)//6.41: 1.275  i.E. (ot. I S.18), 2.013 Ex. Geb. (Ot.I S.300, Ot.II S.418)</t>
  </si>
  <si>
    <t>BA-I</t>
  </si>
  <si>
    <t>4x4, ab 4.42-6.43, von GAS, Moskau (Foss),</t>
  </si>
  <si>
    <t>4x4, ab 4.42-6.43, zahlen nach wiki.ru</t>
  </si>
  <si>
    <t>6x4, Ford AAA-Chassis,1934-5: 168 Ex.(Ot.IS.3199, Standard-Modell(Foss, Tanks),Gorki (Milsom)//6.41: 144 i.E. (Ot. I S.18)//Prod.nach wiki.ru, davon 3 Sp., 43: Türkei, 20: Mongolei</t>
  </si>
  <si>
    <t>6x4, Ford AAA-Chassis, 1938-41, Zahlen nach wiki.ru//6.41: 2.436 i.E. (Ot.), 2.980 bis 22.6.41, +311 danach (Ot.I S.323)</t>
  </si>
  <si>
    <t>R 8</t>
  </si>
  <si>
    <t>R 10</t>
  </si>
  <si>
    <r>
      <t>K</t>
    </r>
    <r>
      <rPr>
        <i/>
        <sz val="8"/>
        <rFont val="Arial"/>
        <family val="2"/>
      </rPr>
      <t>4</t>
    </r>
  </si>
  <si>
    <t>K 4,5</t>
  </si>
  <si>
    <t>K1,5</t>
  </si>
  <si>
    <t>Holzgas, 7.365 Ex., von 37 bis 41(www.kfz.d.Wm.)//</t>
  </si>
  <si>
    <t>Kettenschlepper ziv.</t>
  </si>
  <si>
    <t>Kettenschlepper mil..</t>
  </si>
  <si>
    <r>
      <t xml:space="preserve">Kettenschlepper </t>
    </r>
    <r>
      <rPr>
        <b/>
        <sz val="10"/>
        <rFont val="Symbol"/>
        <family val="1"/>
      </rPr>
      <t>S.</t>
    </r>
  </si>
  <si>
    <t>Rad- u.Kettschl.ziv.</t>
  </si>
  <si>
    <t>Tatsachen u.Zahlen//1919-28: 2.150 Ex.//</t>
  </si>
  <si>
    <t>Dupouy, Tracteurs I S.137//31-41: 700.000  f. Landwirtschaft (wiki.ru)</t>
  </si>
  <si>
    <t>Leningrad, Obuch.</t>
  </si>
  <si>
    <t>Lipezk</t>
  </si>
  <si>
    <t>K</t>
  </si>
  <si>
    <t>44-55: . in Wladimir Traktor Sawod (autogall., Siemer sS.67)//dto., 4.45-55 (Dupouy, wiki ru)</t>
  </si>
  <si>
    <t>wie STZ-3, Altaj:44-52, Maschinen aus Charkow (Vollert)// 8.42-52 , bis 5.12.46: 10.000 Ex.(Dupouy)//12.43: 1.000.Traktor (techstory.ru)</t>
  </si>
  <si>
    <t>36.100 Ex., 1924-33(autogall., Siemer S.23)//22-6: 19.755 Ex. aus US importiert (AQ 43/4 S.66)//49.568 Ex.(Dupouy tract.I S.20)//and. Jährliche Stückz.Siemer S.25</t>
  </si>
  <si>
    <t>6x4, 32-40: 333, dav.10 mit 103 PS 38-40 (www.kfz.d.Wm., wiki.de)//1932-4: 333 Ex., Hercules-Mot.US-Import (auch Schugorow S.131)/</t>
  </si>
  <si>
    <r>
      <t xml:space="preserve">1939-41: 230 (Charkow), 1941-2: 893 (Stalingr.), </t>
    </r>
    <r>
      <rPr>
        <sz val="8"/>
        <rFont val="Symbol"/>
        <family val="1"/>
      </rPr>
      <t>S.</t>
    </r>
    <r>
      <rPr>
        <sz val="8"/>
        <rFont val="Arial"/>
        <family val="2"/>
      </rPr>
      <t>1.123, 7 Ex. neu 1944 Charkow//230 von STZ (autogall.)//1123 39-22.8.41 in Charkow (wiki.de, Bronekoll.3/2002 s.26)</t>
    </r>
  </si>
  <si>
    <t>White-AMO (TAD)</t>
  </si>
  <si>
    <t>White-AMO (TBC)</t>
  </si>
  <si>
    <t>4x2, Vanderveen:1928-9, //137 Ex. (Schugurow S.63, www.kfz.d.Wm.; daschko)</t>
  </si>
  <si>
    <t>FordA Pickup, 33-8: 10.648 Ex. (Schug. S.87)//33-6: 10.648 Ex. (AQ 43 S.72)//32-6: 5.265 Ex.(Daschko)</t>
  </si>
  <si>
    <t>Pickup auf M-1, 39-41: 5.383 Ex. (wiki)// in den 10.648 GAS-4 enthalten</t>
  </si>
  <si>
    <t>Daschko</t>
  </si>
  <si>
    <t>KIM GAS-AA</t>
  </si>
  <si>
    <t>Rostow a.Don</t>
  </si>
  <si>
    <t>Daschko, nur Montage!</t>
  </si>
  <si>
    <t>JaS-1 (JaG 4 Kipper)</t>
  </si>
  <si>
    <t>SIS-Dekalenkow</t>
  </si>
  <si>
    <r>
      <t>Daschko S.218,</t>
    </r>
    <r>
      <rPr>
        <i/>
        <sz val="8"/>
        <rFont val="Arial"/>
        <family val="2"/>
      </rPr>
      <t xml:space="preserve"> nur Montage?</t>
    </r>
  </si>
  <si>
    <t>Daschko S.223</t>
  </si>
  <si>
    <t>Daschko S.223//für Gasballons, nur Umbau?,40-1: 43 Ex.(wiki.ru.SIS 5)//</t>
  </si>
  <si>
    <r>
      <t xml:space="preserve">Ford BB-Kopie, Schugurow S.77,88: ab 1938//38-47: 419.812(www.kfz.d.Wm.)//7.41-45: 138.600 Ex.(wiki.ru): </t>
    </r>
    <r>
      <rPr>
        <i/>
        <sz val="8"/>
        <rFont val="Arial"/>
        <family val="2"/>
      </rPr>
      <t>wohl incl.alle Varianten</t>
    </r>
  </si>
  <si>
    <t>GAS-A Zugmasch.</t>
  </si>
  <si>
    <t>Z/S</t>
  </si>
  <si>
    <t>Daschko S.220</t>
  </si>
  <si>
    <t>SIS-5, SIS-5B</t>
  </si>
  <si>
    <t>4x2, 33-41: 325.051 Ex.(www.kfz.d.Wm.)//20.6.41: 104.200 Ex. rote Armee//1942-48: 207.260 (www.kfz.d.Wm.)//5.42-5.45: ca.83.000 (Schug.S.166)//42-6: 126.215 Ex., 42-5.45: 66900 Ex. (wiki.ru)</t>
  </si>
  <si>
    <t>nach Daschko//ab 2.o.4.42-44: 10.400 Ex. (wiki.ru)</t>
  </si>
  <si>
    <t>nach Daschko//44-7, 44-5.45: 8.500 Ex.(wiki.ru)</t>
  </si>
  <si>
    <t>Kippervariante des SIS-5B, nach Daschko</t>
  </si>
  <si>
    <t>SM-1 Kipper (SIS-5B)</t>
  </si>
  <si>
    <t>UralSIS-5</t>
  </si>
  <si>
    <t>(S-1, 2-S Kipper (SIS-5)</t>
  </si>
  <si>
    <t>Kippervariante des SIS-5, Daschko</t>
  </si>
  <si>
    <t>SIS-33</t>
  </si>
  <si>
    <r>
      <t xml:space="preserve">SIS-5 mit abnehmbaren Halbketten, wiki.ru.SIS-5, </t>
    </r>
    <r>
      <rPr>
        <i/>
        <sz val="8"/>
        <rFont val="Arial"/>
        <family val="2"/>
      </rPr>
      <t>bei Daschko in SIS-5 enthalten?</t>
    </r>
  </si>
  <si>
    <r>
      <t xml:space="preserve">Allradvariante des SIS-5, wiki.ru.SIS-5, </t>
    </r>
    <r>
      <rPr>
        <i/>
        <sz val="8"/>
        <rFont val="Arial"/>
        <family val="2"/>
      </rPr>
      <t>bei Daschko in SIS-5 enthalten?</t>
    </r>
  </si>
  <si>
    <t>nach Daschko//4x2, techn.Daten nach Schugurow, //29-34: 2.273(www.kfz.d.Wm.)//Motor US-Import</t>
  </si>
  <si>
    <t>Nachbau White,  Vanderveen: 1926-8// ab 11.24 - Mi.28: 160 Ex. (Schugurow S.63, www.kfz.d.Wm., Daschko)// Jahresz.n.wiki.ru</t>
  </si>
  <si>
    <t>nach Daschko S.1932-4, Bus auf Basis AMO-3 (Schug.S.105)</t>
  </si>
  <si>
    <t>16 JaG 5 (=Exp.),</t>
  </si>
  <si>
    <t>4.765 JaS 3</t>
  </si>
  <si>
    <t xml:space="preserve"> 1.34-6: 5.358 Ex.JaG4 (wiki.ru), </t>
  </si>
  <si>
    <r>
      <t xml:space="preserve">4x2, 1932-42:  , 8.075 JaG 6, 50 JaG6M, 15 JaG6A, </t>
    </r>
    <r>
      <rPr>
        <b/>
        <sz val="8"/>
        <rFont val="Symbol"/>
        <family val="1"/>
      </rPr>
      <t>S</t>
    </r>
    <r>
      <rPr>
        <b/>
        <sz val="8"/>
        <rFont val="Arial"/>
        <family val="2"/>
      </rPr>
      <t>.18.842/</t>
    </r>
    <r>
      <rPr>
        <sz val="8"/>
        <rFont val="Arial"/>
        <family val="2"/>
      </rPr>
      <t>36ff: JaG6, 40ff: JaG6A (Schug.S.82)//A.32-8.35: 8.711 Ex.(za Rulem 21/1935)</t>
    </r>
  </si>
  <si>
    <t>nach wiki.de//GAS-AA bzw.MM Kipper, 47: 1.565, 48: 2.905, 49: 2.702, 50: 1.075 Ex.</t>
  </si>
  <si>
    <t>38-41: 15.445 (www.kfz.d.Wm., wiki.ru.SIS 21)//39-41 u.46-52, 15.445 Ex.( wiki.ru.SIS5)//</t>
  </si>
  <si>
    <t>II.41: 36 Ex.Zgm.Pak(wiki.ru.GAS-M1)</t>
  </si>
  <si>
    <r>
      <t>Daschko S.218,</t>
    </r>
    <r>
      <rPr>
        <i/>
        <sz val="8"/>
        <rFont val="Arial"/>
        <family val="2"/>
      </rPr>
      <t xml:space="preserve"> nur Montage?//</t>
    </r>
    <r>
      <rPr>
        <sz val="8"/>
        <rFont val="Arial"/>
        <family val="2"/>
      </rPr>
      <t>40 Busaufbauten, Schug.S.107</t>
    </r>
  </si>
  <si>
    <t>Bus, 34-36: 547 (www.kfz.d.Wm., wiki.ru SIS-5, Schug.S.106)//fast bis 1940 bei Aremkus, Moskau (Schug.S.107)</t>
  </si>
  <si>
    <r>
      <t>38-41: 3.250  (www.kfz.d.Wm., wiki.ru.SIS5)</t>
    </r>
    <r>
      <rPr>
        <i/>
        <sz val="8"/>
        <rFont val="Arial"/>
        <family val="2"/>
      </rPr>
      <t>//38- (Schug.S.109)</t>
    </r>
  </si>
  <si>
    <t>B 21</t>
  </si>
  <si>
    <t>B 27</t>
  </si>
  <si>
    <t>n.Bronekoll.2/05, S.8,9,12,14//1940-6:42-6: 6.372 Ex.(wiki.ru)//9.42-44:5.931 (Schug.S.168)</t>
  </si>
  <si>
    <t>n.bronekoll.2/05 S.24//Fahrgest.d.T-70,Spielbg.; 1.666 bis 5.45(Vollert),//43-5:1.166(www.kfz.d.Wm.)</t>
  </si>
  <si>
    <t>n.Bronekoll.2/02 S.12//I.H.C.TA-40-Kopie, 9.944 von 37-8.42, Stalingrad//3.438 bis 6.41 (wiki.ru)//</t>
  </si>
  <si>
    <t>Bronekoll.2/2002 S.15//aus Stalinez 65, kein Erfolg, 1.275 bis Fr.42, dav. 1.179 od. 1.235 in 41</t>
  </si>
  <si>
    <t>Basis Pz.T60//</t>
  </si>
  <si>
    <t>Fiat 15ter-Liz., 1924-32: ca.6.000 (Vanderveen), Keller S.250: 1929:2.585// Zahlen nach www.Zuckerfabr.24// versch. Zahlen sh.auch wiki.ru AMO F15//145 F;euerw.(Schug.S.123)//6.971 (wiki.ru)</t>
  </si>
  <si>
    <t>Zahlen n.Daschko//</t>
  </si>
  <si>
    <t>Zahlen n.Daschko//Weiterbau des Russo-Balt, bis 1926: 22 Ex. (S.54)</t>
  </si>
  <si>
    <r>
      <t xml:space="preserve">Zahlen n.Daschko//Kopie Tatra T-11, Zahlen Schugurow, S.67/68, </t>
    </r>
    <r>
      <rPr>
        <sz val="8"/>
        <rFont val="Symbol"/>
        <family val="1"/>
      </rPr>
      <t>S</t>
    </r>
    <r>
      <rPr>
        <sz val="8"/>
        <rFont val="Arial"/>
        <family val="2"/>
      </rPr>
      <t>. 412 Fr.27 bis 10.30 (S.69) (!?)//269 Ex.(Kelly I S.78)</t>
    </r>
  </si>
  <si>
    <r>
      <t xml:space="preserve">Zahlen n.Daschko//Ford B-Kopie, ab 5.36 - 1941, </t>
    </r>
    <r>
      <rPr>
        <sz val="8"/>
        <rFont val="Symbol"/>
        <family val="1"/>
      </rPr>
      <t>S</t>
    </r>
    <r>
      <rPr>
        <sz val="8"/>
        <rFont val="Arial"/>
        <family val="2"/>
      </rPr>
      <t>. 62.888//Schugorow, Dupouy GAZ II S.45: dito,-43//-42 (AQ 43/3 S.73)</t>
    </r>
  </si>
  <si>
    <t>GAS-61-40 (4x4)</t>
  </si>
  <si>
    <t xml:space="preserve">Zahlen n.Daschko//M-1 mit neuem Motor (Nachb.Dodge), </t>
  </si>
  <si>
    <t>Zahlen n.Daschko//Stahl- statt Stoffdach</t>
  </si>
  <si>
    <t>Zahlen n.Daschko, ab 1940: SIS 101B//Buick-Kopie, '37-41:8.752 Ex.//3.11.36-7.7.41:8.753 Ex. (Kelly S.21)</t>
  </si>
  <si>
    <t>KIM-10</t>
  </si>
  <si>
    <t>GAS-A Chassis</t>
  </si>
  <si>
    <t>6x4, 1936: ca.100 Ex. (wiki.ru)</t>
  </si>
  <si>
    <t>Zahlen  n.Daschko//1941 und 1945-48: 1.250 Ex., dav."einige" bis 1941 (Schugurow S.91)//40-46:1.250 (ww.kfz.d.wm.)//bis 43: 1.250 (Dupouy GAZ II S.459//1.170 Ex.(wiki.ru)</t>
  </si>
  <si>
    <t>Zahlen n. Daschko//33-41, 45-50: 18.613 Ex.(Schug.S.111)</t>
  </si>
  <si>
    <t>GAS-MM Halbkette, 1939: 896 Ex.//692 Ex.(wiki.ru) + 200 in 1940 (Schm.)</t>
  </si>
  <si>
    <t>GAS 6x4(M-21 u.a.)</t>
  </si>
  <si>
    <t>Daschko// nach wiki.ru 3achs.</t>
  </si>
  <si>
    <t>GAS-TK  6x4</t>
  </si>
  <si>
    <t>DaschkoS.150, 157: 3achs.</t>
  </si>
  <si>
    <t>GAS-22, -25  6x4</t>
  </si>
  <si>
    <t>"OWAD" (Daschko)</t>
  </si>
  <si>
    <r>
      <t xml:space="preserve">Zahlen n.Daschko, ohne BA-64//Nachbau Jeep, 4x4, ab 9.1943-5.45:4.851 Ex., bis 8.53: </t>
    </r>
    <r>
      <rPr>
        <sz val="8"/>
        <rFont val="Symbol"/>
        <family val="1"/>
      </rPr>
      <t>S</t>
    </r>
    <r>
      <rPr>
        <sz val="8"/>
        <rFont val="Arial"/>
        <family val="2"/>
      </rPr>
      <t>.92.843//Schug.S.169: 42-45: ca.5.300, -1953: 62.843//42-5: 5.250 (autogall.)</t>
    </r>
  </si>
  <si>
    <t>Zahlen n.Daschko, ohne BA-64//Nachbau Jeep,4x4,  8.1941-42: 672 Ex.,//dito: 684(www.kfz.d.Wm.)//H.41-Fr.42: 686 (Schug.)//646 Ex.(www.oldrussiancars.com)// Jahreszahlen nach wiki.ru.</t>
  </si>
  <si>
    <t xml:space="preserve">Gorki </t>
  </si>
  <si>
    <t>AMO F-15 Schtabnij</t>
  </si>
  <si>
    <t>sonstige und Speziallfzg., PKW</t>
  </si>
  <si>
    <t>OBM II S.118//prod.11.41 -42 , über 6.000, 1942: 9553 x T60 + T 70</t>
  </si>
  <si>
    <t>OBM II S.118// Gorki geb., 8.226 Ex. (Foss), 3.463 in 1943(Hahn)</t>
  </si>
  <si>
    <t xml:space="preserve">OMB II S.118// Mytischi geb., </t>
  </si>
  <si>
    <t>GAS-60  Halbk.</t>
  </si>
  <si>
    <t>GAS-14 (Holzg.)</t>
  </si>
  <si>
    <t xml:space="preserve">GAS-6 </t>
  </si>
  <si>
    <t>Han. WD-Kopie,3.700, 1924-31,  9GU: 75 PS, 1.100 Ex.(Vollert) //24-36: 3.900 Ex.in CharkowParovoznij Sawod (autogall.)//Glkeiche Zyl. Wie T50, aber Benzin statt Gasolin?</t>
  </si>
  <si>
    <t>Caterpillar-60D-Kopie, So.1937-7.41: 37.626, Nachfolger d. S-60, (Vollert; Dupouy, Siemer S.60)/30.3.40: 100.000. Traktor in Tscheljabinsk (www.)</t>
  </si>
  <si>
    <t>R 5</t>
  </si>
  <si>
    <t>23-27: ca.500 Ex., (autogall., wiki.ru,)//23-7: 500 o.800 (Siemer S.19)</t>
  </si>
  <si>
    <t>R</t>
  </si>
  <si>
    <t>1919, Versuchsserie (avtomash.ru)//nur Prot.(Kelly S.15)//24-6: ca.20</t>
  </si>
  <si>
    <t xml:space="preserve">24-6: 50 Ex.(Dupouy)//"considerable numbers" (Kelly S.15)24-8: 5/Jahr (Siemer S.7)// 1zyl., 6-12 PS </t>
  </si>
  <si>
    <t>BA-64 Radio 4x4</t>
  </si>
  <si>
    <t>BA-64 B Radio 4x4</t>
  </si>
  <si>
    <t>Kopie I.H.-C.Mogul, 206 Ex.in Kolomna b.Moskau, 25 in Brjansk 23-5 (Dupouy,land-tech2.narod.ru)//üb.500, 23-9 (autogall., wiki.ru, avtomash.ru)// 23-6: einige 100 Ex. (Dupouy)//23-5: 200, o.23-9: 500 (Siemer S.9 u.22)</t>
  </si>
  <si>
    <t>GAS-61-417 (Zgm.4x4)</t>
  </si>
  <si>
    <t>GAS-64   (4x4)</t>
  </si>
  <si>
    <t>GAS-67   (4x4)</t>
  </si>
  <si>
    <t>SIS-30/Komsomolez</t>
  </si>
  <si>
    <t>Umbau aus zu reparierenden Komsomolez? (tank enc.)</t>
  </si>
  <si>
    <t>GAS-905 Zugmasch.</t>
  </si>
  <si>
    <t>GAS-S1 / MM-410</t>
  </si>
  <si>
    <t>GAS-55 (San.)</t>
  </si>
  <si>
    <t>GAS-03-30 Bus</t>
  </si>
  <si>
    <t>GAS-41 (Holzg.)</t>
  </si>
  <si>
    <t>GAS-42 (Holzg.)</t>
  </si>
  <si>
    <t>GAS-43 (Holzg.)</t>
  </si>
  <si>
    <t>GAS-45 (Holzg.)</t>
  </si>
  <si>
    <t xml:space="preserve">GAS-M-1 </t>
  </si>
  <si>
    <t>GAS-M-1 Chassis</t>
  </si>
  <si>
    <t>GAS-M-415 (Pickup)</t>
  </si>
  <si>
    <t>GAS-11-40</t>
  </si>
  <si>
    <t>GAS-11-73</t>
  </si>
  <si>
    <t xml:space="preserve">AMO-F-15 </t>
  </si>
  <si>
    <t>SIS-8</t>
  </si>
  <si>
    <t>SIS-16</t>
  </si>
  <si>
    <t>SIS-10</t>
  </si>
  <si>
    <t xml:space="preserve">SIS-13 </t>
  </si>
  <si>
    <t>SIS-21,-21A (Holzgas)</t>
  </si>
  <si>
    <t>SIS-30</t>
  </si>
  <si>
    <t>SIS-31</t>
  </si>
  <si>
    <t>SIS-41</t>
  </si>
  <si>
    <t>SIS-32  4x4</t>
  </si>
  <si>
    <t>SIS-22</t>
  </si>
  <si>
    <t>SIS-42</t>
  </si>
  <si>
    <t>SIS-AT-14</t>
  </si>
  <si>
    <t>Ja-3</t>
  </si>
  <si>
    <t>Ja-4</t>
  </si>
  <si>
    <t>Ja-5</t>
  </si>
  <si>
    <t>Ja-6</t>
  </si>
  <si>
    <t>JaG-10    (6x4)</t>
  </si>
  <si>
    <t>JaG-3</t>
  </si>
  <si>
    <t>JaG-4</t>
  </si>
  <si>
    <t>JaG-5</t>
  </si>
  <si>
    <t>JaG-6</t>
  </si>
  <si>
    <t>JaS-3 (JaG-6 Kipper)</t>
  </si>
  <si>
    <t>JaG-9</t>
  </si>
  <si>
    <t>SIS-101,102</t>
  </si>
  <si>
    <t>Universal U-1, U-2</t>
  </si>
  <si>
    <t>Kommunar G-50</t>
  </si>
  <si>
    <t>Kommunar G-75</t>
  </si>
  <si>
    <t>Kommunar Z-90</t>
  </si>
  <si>
    <t>Stalinez-65</t>
  </si>
  <si>
    <t xml:space="preserve">Stalinez SG-65 </t>
  </si>
  <si>
    <t>STZ-3 - NATI</t>
  </si>
  <si>
    <t>STZ-15/30</t>
  </si>
  <si>
    <t>ChTZ-15/30</t>
  </si>
  <si>
    <t>Kirowez-35</t>
  </si>
  <si>
    <t>ab 44 (Siemer S.33)//</t>
  </si>
  <si>
    <t xml:space="preserve">STZ-T2G </t>
  </si>
  <si>
    <t>ArtSchl. Ja-11</t>
  </si>
  <si>
    <t>ArtSchl. Ja-12</t>
  </si>
  <si>
    <t>ArtSchl. Ja-13</t>
  </si>
  <si>
    <t>T-37 RT ("PT")</t>
  </si>
  <si>
    <t>T-70</t>
  </si>
  <si>
    <t>SU-76</t>
  </si>
  <si>
    <t>ZSU-37</t>
  </si>
  <si>
    <t>T-26 RT ("PT")</t>
  </si>
  <si>
    <t>SU-122</t>
  </si>
  <si>
    <t>T-60</t>
  </si>
  <si>
    <t>JS-1</t>
  </si>
  <si>
    <t>KW-1</t>
  </si>
  <si>
    <t>KW-85</t>
  </si>
  <si>
    <t>KW-2</t>
  </si>
  <si>
    <t>JS-2</t>
  </si>
  <si>
    <t>JS-3</t>
  </si>
  <si>
    <t>SU-152</t>
  </si>
  <si>
    <t>ISU-122</t>
  </si>
  <si>
    <t>ISU-152</t>
  </si>
  <si>
    <t>GAS-55B-55 (6x4)</t>
  </si>
  <si>
    <t>Zahlen n.wiki.de</t>
  </si>
  <si>
    <t>Kasan</t>
  </si>
  <si>
    <t>KIM Ford-A</t>
  </si>
  <si>
    <t>KIM Ford-AA</t>
  </si>
  <si>
    <t>GAS-44 (Erdg.)</t>
  </si>
  <si>
    <t>Daschko S.223//GAS BB Holzgas, 1939-46: 33.860 Ex. (Schug.S.152)</t>
  </si>
  <si>
    <t>Zahlen nach Soljankin u.a. Bd.I S.17//Carden-Lloyd-Nachbau, insges. ca. 2.500 (zu schwach gepanzert), (Foss, Tanks)</t>
  </si>
  <si>
    <t>Zahlen nach Soljankin u.a. Bd.I S.17//mit Flammenwerfer</t>
  </si>
  <si>
    <t>Zahlen nach Soljankin u.a. Bd.I S.17//verbess. T-37</t>
  </si>
  <si>
    <t>Zahlen nach Soljankin u.a. Bd.I S.17//T-37 schwimmfähig</t>
  </si>
  <si>
    <t>Zahlen nach Soljankin u.a. Bd.I S.17//Zahlen nach Soljankin u.a. Bd.I S.17//mit Flammenwerfer</t>
  </si>
  <si>
    <t>Zahlen nach Soljankin u.a. Bd.I S.17//verbess. T-37, Prod. ab '36, voll 1937-9: ca.1.300 (Bishop)</t>
  </si>
  <si>
    <t>Zahlen nach Soljankin u.a. Bd.I S.17//T-38 schwimmfähig</t>
  </si>
  <si>
    <t>Zahlen nach Soljankin u.a. Bd.I S.17//OBM II S.107// prod. E.40 - 1942 (Foss, Tanks), 225 Ex.,A.1940-41 (Bishop)</t>
  </si>
  <si>
    <t>Zahlen nach Soljankin u.a. Bd.I S.17//Leningrad geb., Pr.:'31, '32-40: 12.000 +(Foss, Tanks); ca.4.500 (Grove)//Nachbau Vickers 6to.</t>
  </si>
  <si>
    <t>Zahlen nach Soljankin u.a. Bd.I S.17//Leningrad geb., 281 n.Spanien (Zaloga, Ospr.170 S.27)</t>
  </si>
  <si>
    <t>Zahlen nach Soljankin u.a. Bd.I S.17//Leningrad geb., Funklenkpanzer</t>
  </si>
  <si>
    <t xml:space="preserve">Zahlen nach Soljankin u.a. Bd.I S.17//Leningrad geb., </t>
  </si>
  <si>
    <t>Zahlen nach Soljankin u.a. Bd.I S.17//N.Vg.218: 12.001 Ex.</t>
  </si>
  <si>
    <t>Zahlen nach Soljankin u.a. Bd.I S.17//BT-1: 2 Pr., 1931, BT-2: MG od.3,7; kl. Anz. 1932-3(Foss, Tanks), Serie (BT-3 mit 37mm)(Grove)</t>
  </si>
  <si>
    <t>Zahlen nach Soljankin u.a. Bd.I S.17//dito NVg.237 S.20//BT-5: ca.1933-6(Foss, Tanks), erhebl. Mengen,E.32-35 (Grove)//4,5  o.7,62 cm-K.//50 in 37 n.Spanien (Zaloga, Ospr.170 S.27)</t>
  </si>
  <si>
    <t>Zahlen nach Soljankin u.a. Bd.I S.17//dito NVg.237 S.20//Funk</t>
  </si>
  <si>
    <t>Zahlen nach Soljankin u.a. Bd.I S.17//dito NVg.237 S.20//BT-7: ca.1936 - 40 (Foss, Tanks), E.35-,meistgebauter Pz.d.30erj.(Grove)//4,5  o.7,62 cm-K.</t>
  </si>
  <si>
    <t>Zahlen nach Soljankin u.a. Bd.I S.17//dito NVg.237 S.20//</t>
  </si>
  <si>
    <t>Zahlen nach Soljankin u.a. Bd.I S.17//Geschütz- + MG-Turm, Fahrwk. Ähnl. Renault (Ot.I S.122/3)</t>
  </si>
  <si>
    <t>Zahlen nach Soljankin u.a. Bd.I S.17//Kopie brit. A6E1, in Prod. 1934-1940, ersetzt durch T-34 (Foss, Tanks)</t>
  </si>
  <si>
    <t>Zahlen nach Soljankin u.a. Bd.I S.17//Pr.:1933, Prod. 1934-9:ca.60, Kopie Vickers Independent (Foss), ca.30 Ex.(Grove), ca.20-30(White)</t>
  </si>
  <si>
    <t>Zahlen nach Soljankin u.a. Bd.I S.17//schwimmf., Kopie Vickers lt.Tk.Mk.I, Pr.:8.33, Prod. E.33 - E.36, Nachf. des T-27 (Foss, Tanks)</t>
  </si>
  <si>
    <t>Zahlen nach Kirindas, Komintern//1934-40: 1.798 Ex., ArtSchl.(Vollert, Dupouy)//üb.2.000 (autogall.)</t>
  </si>
  <si>
    <t>Han. WD-Kopie,3.700, 1924-31,  EU: 90 PS, 1.950 Ex.(Vollert)//24-36: 3.900 Ex.in CharkowParovoznij Sawod (autogall.)/</t>
  </si>
  <si>
    <t>Dupouy S.12//Nachbau Holt 75 PS, 3 Ex.1919//19-25: 50 Ex. In kl. Serien (Kirindas, Komintern S.48, 50)</t>
  </si>
  <si>
    <t>-</t>
  </si>
  <si>
    <t>Feuerwehrfahrzeuge</t>
  </si>
  <si>
    <t>LKW (ohne Feuerw.)</t>
  </si>
  <si>
    <t>Holzgas, 36: 264 Ex.(wiki.ru)</t>
  </si>
  <si>
    <r>
      <t>6.30-41:</t>
    </r>
    <r>
      <rPr>
        <sz val="8"/>
        <rFont val="Symbol"/>
        <family val="1"/>
      </rPr>
      <t>S</t>
    </r>
    <r>
      <rPr>
        <sz val="8"/>
        <rFont val="Arial"/>
        <family val="2"/>
      </rPr>
      <t>.390.500 //</t>
    </r>
    <r>
      <rPr>
        <sz val="8"/>
        <rFont val="Symbol"/>
        <family val="1"/>
      </rPr>
      <t>S.</t>
    </r>
    <r>
      <rPr>
        <sz val="8"/>
        <rFont val="Arial"/>
        <family val="2"/>
      </rPr>
      <t>Charkow u. Stalingrad: 30-7: 397.000 (Dupouy S.20)// erneuter Bau 2.Autoreparaturwerk Moskau, 48-50 (wiki.ru, avtomash.ru)//Gesamtzahlen nach Moorsteen S.46//</t>
    </r>
  </si>
  <si>
    <t>34-40: 211.500 in Kirow Traktor Sawod, //Kopie Farmall F20,34-55:  211.500 Ex. (wiki.ru)//zus.mit Fordson Put.: 24-40: kn.150000//34-7: Zahlen nach Moorsteen S.46</t>
  </si>
  <si>
    <t>Moorsteen S.46</t>
  </si>
  <si>
    <t>Obuchow -Holt 75</t>
  </si>
  <si>
    <t>38-50: 12.044 Ex.(wiki.ru)//38-45: 9.130 Ex.(Schug.S.121, Awt.Krasn.Arm.S.19)</t>
  </si>
  <si>
    <t>Nachbau Caterpillar 5to, 19?-22-28 (Siemer S.30)//24-30:10-20/Jahr (www.)//24-30, kleine Serien: 24-5: 51  Ex. ( Kirindas, Komintern S.53-56)//25: 4 Serien: 18+12+15+6 =51 (military.wikireading.ru/hswRm9hsg4)</t>
  </si>
  <si>
    <t xml:space="preserve">Obuchow </t>
  </si>
  <si>
    <t>Caterpillar-60-Kopie, 68.997, 1932-E.3.37, Nachb. US Caterpillar 60, (Vollert)//dto. Ab 6.33 (Dupouy, Siemer S.59)//ca.69.100 (autogall., wiki.ru)</t>
  </si>
  <si>
    <t>Ishorsk geb.,4x2, auf Chassis Ford A, 32-4: 25 Ex.(Ot.I S.297)//Schug.: 1931//31-2: 35 Ex. (wiki.ru)</t>
  </si>
  <si>
    <t>Ishorsk geb.,4x2, 32-4:ca.25 Ex.//Schug.: 1931//6.41: 46 (incl. D-8) i.E. (ot. I S.18, 298)//31-2: 25 Ex. (wiki.ru)</t>
  </si>
  <si>
    <t>SIS-5-Chassis, 3.39: 1 Prot., 6.-8.40: 16 Ex.(wiki.ru)</t>
  </si>
  <si>
    <t>1923-7 n.Siemer, 1928ff nach USAF RM1121, S.46//Han. WD-Kopie,3.700, 1924-31 // 9G: 60 PS, 850 Ex.,(Vollert)//24-36: 3.900 Ex.in CharkowParovoznij Sawod (autogall.)//nur 2.000 Ex. (wiki.ru)//24-7: Siemer S.11, 28-31: USAF RM1121 S.46</t>
  </si>
  <si>
    <t>)      3.499</t>
  </si>
  <si>
    <t>4x4, ab 8.43,  Zahlen nach wiki.ru</t>
  </si>
  <si>
    <t>6x4, 15 Ex.ca.1932 (S.317)//6.41: 9 i.E. (ot. I S.18)</t>
  </si>
  <si>
    <t>aus Pz.T-38, gepz., 'E.37)-7.41: Jahreszahlen n. wiki.ru. 7.780 Ex., auch SF f. 57 u.45 mm Pak(Foss,Tanks), '37-(White),40-(Spielb)//bronekoll.3/02 S.7//</t>
  </si>
  <si>
    <t>T-20Komsomolez (630r)</t>
  </si>
  <si>
    <t>OBM II S.118// Panzer III-Kopie//wiki.ru.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</si>
</sst>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"/>
    <numFmt numFmtId="167" formatCode="#,##0.0000"/>
  </numFmts>
  <fonts count="31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i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b/>
      <sz val="8"/>
      <name val="Symbol"/>
      <family val="1"/>
    </font>
    <font>
      <i/>
      <sz val="10"/>
      <name val="Arial"/>
      <family val="2"/>
    </font>
    <font>
      <i/>
      <sz val="9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10"/>
      <name val="Tahoma"/>
      <family val="2"/>
    </font>
    <font>
      <b/>
      <sz val="12"/>
      <name val="Arial"/>
      <family val="2"/>
    </font>
    <font>
      <b/>
      <sz val="10"/>
      <name val="Tahoma"/>
      <family val="0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Tahoma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3" fontId="2" fillId="3" borderId="3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7" fillId="4" borderId="3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/>
    </xf>
    <xf numFmtId="3" fontId="13" fillId="0" borderId="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7" fillId="4" borderId="3" xfId="0" applyNumberFormat="1" applyFont="1" applyFill="1" applyBorder="1" applyAlignment="1">
      <alignment/>
    </xf>
    <xf numFmtId="3" fontId="13" fillId="4" borderId="3" xfId="0" applyNumberFormat="1" applyFont="1" applyFill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7" fillId="3" borderId="3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13" fillId="4" borderId="4" xfId="0" applyNumberFormat="1" applyFont="1" applyFill="1" applyBorder="1" applyAlignment="1">
      <alignment/>
    </xf>
    <xf numFmtId="3" fontId="17" fillId="4" borderId="4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3" fillId="2" borderId="20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4" fillId="0" borderId="17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4" fillId="2" borderId="20" xfId="0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2" borderId="27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2" borderId="28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3" fillId="5" borderId="7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0" fontId="1" fillId="0" borderId="9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8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5" fillId="2" borderId="33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8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8" fillId="2" borderId="31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16" fillId="0" borderId="15" xfId="0" applyNumberFormat="1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21" fillId="3" borderId="4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5" fillId="4" borderId="14" xfId="0" applyNumberFormat="1" applyFont="1" applyFill="1" applyBorder="1" applyAlignment="1">
      <alignment/>
    </xf>
    <xf numFmtId="3" fontId="21" fillId="4" borderId="3" xfId="0" applyNumberFormat="1" applyFont="1" applyFill="1" applyBorder="1" applyAlignment="1">
      <alignment/>
    </xf>
    <xf numFmtId="2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2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/>
    </xf>
    <xf numFmtId="3" fontId="15" fillId="2" borderId="12" xfId="0" applyNumberFormat="1" applyFont="1" applyFill="1" applyBorder="1" applyAlignment="1">
      <alignment/>
    </xf>
    <xf numFmtId="3" fontId="15" fillId="2" borderId="14" xfId="0" applyNumberFormat="1" applyFont="1" applyFill="1" applyBorder="1" applyAlignment="1">
      <alignment horizontal="center"/>
    </xf>
    <xf numFmtId="3" fontId="15" fillId="2" borderId="14" xfId="0" applyNumberFormat="1" applyFont="1" applyFill="1" applyBorder="1" applyAlignment="1">
      <alignment/>
    </xf>
    <xf numFmtId="3" fontId="4" fillId="2" borderId="3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/>
    </xf>
    <xf numFmtId="3" fontId="4" fillId="2" borderId="32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3" borderId="4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2" fillId="0" borderId="3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3" fillId="5" borderId="35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3" fillId="5" borderId="3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6" fillId="5" borderId="29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6" fillId="5" borderId="42" xfId="0" applyNumberFormat="1" applyFont="1" applyFill="1" applyBorder="1" applyAlignment="1">
      <alignment horizontal="center"/>
    </xf>
    <xf numFmtId="3" fontId="6" fillId="5" borderId="36" xfId="0" applyNumberFormat="1" applyFont="1" applyFill="1" applyBorder="1" applyAlignment="1">
      <alignment horizontal="center"/>
    </xf>
    <xf numFmtId="3" fontId="12" fillId="0" borderId="43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" fontId="22" fillId="3" borderId="2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 horizontal="center"/>
    </xf>
    <xf numFmtId="0" fontId="3" fillId="2" borderId="12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3" fillId="5" borderId="36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8" fillId="2" borderId="2" xfId="0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2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3" fontId="16" fillId="0" borderId="7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7" xfId="0" applyFont="1" applyBorder="1" applyAlignment="1" quotePrefix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5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6" borderId="1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3" fontId="0" fillId="6" borderId="0" xfId="0" applyNumberForma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0" xfId="0" applyFill="1" applyAlignment="1">
      <alignment/>
    </xf>
    <xf numFmtId="3" fontId="12" fillId="6" borderId="43" xfId="0" applyNumberFormat="1" applyFont="1" applyFill="1" applyBorder="1" applyAlignment="1">
      <alignment/>
    </xf>
    <xf numFmtId="3" fontId="12" fillId="6" borderId="6" xfId="0" applyNumberFormat="1" applyFont="1" applyFill="1" applyBorder="1" applyAlignment="1">
      <alignment/>
    </xf>
    <xf numFmtId="3" fontId="2" fillId="7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3" fillId="0" borderId="1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8" fillId="2" borderId="27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12" fillId="0" borderId="9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2" borderId="4" xfId="0" applyFont="1" applyFill="1" applyBorder="1" applyAlignment="1">
      <alignment/>
    </xf>
    <xf numFmtId="3" fontId="5" fillId="2" borderId="3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12" fillId="2" borderId="8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3" fillId="3" borderId="2" xfId="0" applyNumberFormat="1" applyFont="1" applyFill="1" applyBorder="1" applyAlignment="1">
      <alignment/>
    </xf>
    <xf numFmtId="3" fontId="17" fillId="3" borderId="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0" fillId="8" borderId="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17" fillId="4" borderId="2" xfId="0" applyNumberFormat="1" applyFont="1" applyFill="1" applyBorder="1" applyAlignment="1">
      <alignment/>
    </xf>
    <xf numFmtId="3" fontId="13" fillId="4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center"/>
    </xf>
    <xf numFmtId="3" fontId="1" fillId="7" borderId="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0" fontId="2" fillId="0" borderId="3" xfId="0" applyNumberFormat="1" applyFont="1" applyBorder="1" applyAlignment="1">
      <alignment horizontal="center"/>
    </xf>
    <xf numFmtId="3" fontId="0" fillId="8" borderId="16" xfId="0" applyNumberFormat="1" applyFont="1" applyFill="1" applyBorder="1" applyAlignment="1">
      <alignment horizontal="center"/>
    </xf>
    <xf numFmtId="3" fontId="0" fillId="8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3" fontId="26" fillId="3" borderId="3" xfId="0" applyNumberFormat="1" applyFont="1" applyFill="1" applyBorder="1" applyAlignment="1">
      <alignment/>
    </xf>
    <xf numFmtId="3" fontId="26" fillId="4" borderId="3" xfId="0" applyNumberFormat="1" applyFont="1" applyFill="1" applyBorder="1" applyAlignment="1">
      <alignment/>
    </xf>
    <xf numFmtId="3" fontId="26" fillId="3" borderId="2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26" fillId="4" borderId="2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13" fillId="0" borderId="7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3" fillId="3" borderId="0" xfId="0" applyFont="1" applyFill="1" applyAlignment="1">
      <alignment/>
    </xf>
    <xf numFmtId="3" fontId="17" fillId="4" borderId="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13" fillId="4" borderId="2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0" fillId="4" borderId="7" xfId="0" applyNumberFormat="1" applyFont="1" applyFill="1" applyBorder="1" applyAlignment="1">
      <alignment/>
    </xf>
    <xf numFmtId="3" fontId="26" fillId="4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3" borderId="4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2" fillId="3" borderId="4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13" fillId="4" borderId="7" xfId="0" applyNumberFormat="1" applyFont="1" applyFill="1" applyBorder="1" applyAlignment="1">
      <alignment/>
    </xf>
    <xf numFmtId="3" fontId="17" fillId="4" borderId="7" xfId="0" applyNumberFormat="1" applyFont="1" applyFill="1" applyBorder="1" applyAlignment="1">
      <alignment/>
    </xf>
    <xf numFmtId="3" fontId="3" fillId="2" borderId="1" xfId="0" applyNumberFormat="1" applyFont="1" applyFill="1" applyBorder="1" applyAlignment="1" quotePrefix="1">
      <alignment/>
    </xf>
    <xf numFmtId="3" fontId="12" fillId="2" borderId="12" xfId="0" applyNumberFormat="1" applyFont="1" applyFill="1" applyBorder="1" applyAlignment="1">
      <alignment/>
    </xf>
    <xf numFmtId="3" fontId="12" fillId="3" borderId="3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24" fillId="0" borderId="7" xfId="0" applyFont="1" applyBorder="1" applyAlignment="1">
      <alignment/>
    </xf>
    <xf numFmtId="3" fontId="1" fillId="3" borderId="7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0" fillId="2" borderId="0" xfId="0" applyFill="1" applyAlignment="1">
      <alignment/>
    </xf>
    <xf numFmtId="167" fontId="1" fillId="0" borderId="4" xfId="0" applyNumberFormat="1" applyFont="1" applyBorder="1" applyAlignment="1">
      <alignment/>
    </xf>
    <xf numFmtId="3" fontId="26" fillId="0" borderId="3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8" borderId="4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/>
    </xf>
    <xf numFmtId="3" fontId="12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4" fillId="0" borderId="4" xfId="0" applyFont="1" applyBorder="1" applyAlignment="1">
      <alignment/>
    </xf>
    <xf numFmtId="0" fontId="24" fillId="0" borderId="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" fillId="8" borderId="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3" fontId="28" fillId="4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24" xfId="0" applyNumberFormat="1" applyFont="1" applyFill="1" applyBorder="1" applyAlignment="1">
      <alignment/>
    </xf>
    <xf numFmtId="0" fontId="4" fillId="2" borderId="47" xfId="0" applyFont="1" applyFill="1" applyBorder="1" applyAlignment="1">
      <alignment/>
    </xf>
    <xf numFmtId="3" fontId="6" fillId="2" borderId="12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3" fontId="5" fillId="2" borderId="24" xfId="0" applyNumberFormat="1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6" fillId="4" borderId="4" xfId="0" applyNumberFormat="1" applyFont="1" applyFill="1" applyBorder="1" applyAlignment="1">
      <alignment/>
    </xf>
    <xf numFmtId="3" fontId="26" fillId="3" borderId="4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4"/>
  <sheetViews>
    <sheetView tabSelected="1" workbookViewId="0" topLeftCell="A1">
      <pane xSplit="7" ySplit="2" topLeftCell="H11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56" sqref="A156"/>
    </sheetView>
  </sheetViews>
  <sheetFormatPr defaultColWidth="11.421875" defaultRowHeight="12.75"/>
  <cols>
    <col min="1" max="1" width="3.28125" style="196" customWidth="1"/>
    <col min="2" max="2" width="16.421875" style="74" customWidth="1"/>
    <col min="3" max="3" width="12.7109375" style="3" customWidth="1"/>
    <col min="4" max="4" width="4.28125" style="2" customWidth="1"/>
    <col min="5" max="5" width="3.00390625" style="3" customWidth="1"/>
    <col min="6" max="6" width="5.7109375" style="276" customWidth="1"/>
    <col min="7" max="7" width="6.421875" style="9" customWidth="1"/>
    <col min="8" max="8" width="4.00390625" style="2" customWidth="1"/>
    <col min="9" max="9" width="3.7109375" style="0" customWidth="1"/>
    <col min="10" max="13" width="4.28125" style="0" customWidth="1"/>
    <col min="14" max="16" width="5.57421875" style="0" customWidth="1"/>
    <col min="17" max="19" width="6.7109375" style="0" customWidth="1"/>
    <col min="20" max="22" width="7.57421875" style="0" customWidth="1"/>
    <col min="23" max="23" width="7.7109375" style="0" customWidth="1"/>
    <col min="24" max="36" width="7.57421875" style="0" customWidth="1"/>
    <col min="37" max="37" width="9.421875" style="283" customWidth="1"/>
    <col min="38" max="38" width="9.421875" style="284" customWidth="1"/>
    <col min="39" max="39" width="42.7109375" style="0" customWidth="1"/>
    <col min="40" max="44" width="18.28125" style="3" customWidth="1"/>
    <col min="45" max="45" width="11.00390625" style="3" customWidth="1"/>
  </cols>
  <sheetData>
    <row r="1" spans="1:38" ht="15.75">
      <c r="A1" s="197">
        <f>A243</f>
        <v>243</v>
      </c>
      <c r="B1" s="195" t="s">
        <v>105</v>
      </c>
      <c r="C1" s="195" t="s">
        <v>232</v>
      </c>
      <c r="D1" s="195"/>
      <c r="E1" s="195"/>
      <c r="F1" s="268"/>
      <c r="H1" s="340" t="s">
        <v>231</v>
      </c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277"/>
      <c r="AL1" s="278"/>
    </row>
    <row r="2" spans="2:44" ht="13.5" thickBot="1">
      <c r="B2" s="184" t="s">
        <v>8</v>
      </c>
      <c r="C2" s="184" t="s">
        <v>124</v>
      </c>
      <c r="D2" s="134" t="s">
        <v>142</v>
      </c>
      <c r="E2" s="134" t="s">
        <v>6</v>
      </c>
      <c r="F2" s="269" t="s">
        <v>5</v>
      </c>
      <c r="G2" s="136" t="s">
        <v>4</v>
      </c>
      <c r="H2" s="135">
        <v>19</v>
      </c>
      <c r="I2" s="135">
        <v>20</v>
      </c>
      <c r="J2" s="135">
        <v>21</v>
      </c>
      <c r="K2" s="135">
        <v>22</v>
      </c>
      <c r="L2" s="135">
        <v>23</v>
      </c>
      <c r="M2" s="135">
        <v>24</v>
      </c>
      <c r="N2" s="134">
        <v>1925</v>
      </c>
      <c r="O2" s="134">
        <v>1926</v>
      </c>
      <c r="P2" s="134">
        <v>1927</v>
      </c>
      <c r="Q2" s="134">
        <v>1928</v>
      </c>
      <c r="R2" s="134">
        <v>1929</v>
      </c>
      <c r="S2" s="134">
        <v>1930</v>
      </c>
      <c r="T2" s="134">
        <v>1931</v>
      </c>
      <c r="U2" s="134">
        <v>1932</v>
      </c>
      <c r="V2" s="134">
        <v>1933</v>
      </c>
      <c r="W2" s="134">
        <v>1934</v>
      </c>
      <c r="X2" s="134">
        <v>1935</v>
      </c>
      <c r="Y2" s="134">
        <v>1936</v>
      </c>
      <c r="Z2" s="134">
        <v>1937</v>
      </c>
      <c r="AA2" s="134">
        <v>1938</v>
      </c>
      <c r="AB2" s="134">
        <v>1939</v>
      </c>
      <c r="AC2" s="134">
        <v>1940</v>
      </c>
      <c r="AD2" s="134" t="s">
        <v>44</v>
      </c>
      <c r="AE2" s="134" t="s">
        <v>43</v>
      </c>
      <c r="AF2" s="134">
        <v>1942</v>
      </c>
      <c r="AG2" s="134">
        <v>1943</v>
      </c>
      <c r="AH2" s="134">
        <v>1944</v>
      </c>
      <c r="AI2" s="134">
        <v>1945</v>
      </c>
      <c r="AJ2" s="137">
        <v>1946</v>
      </c>
      <c r="AK2" s="279" t="s">
        <v>1</v>
      </c>
      <c r="AL2" s="280" t="s">
        <v>75</v>
      </c>
      <c r="AM2" s="138" t="s">
        <v>76</v>
      </c>
      <c r="AN2" s="139"/>
      <c r="AO2" s="139"/>
      <c r="AP2" s="139"/>
      <c r="AQ2" s="139"/>
      <c r="AR2" s="139"/>
    </row>
    <row r="3" spans="1:44" ht="12.75">
      <c r="A3" s="197">
        <v>3</v>
      </c>
      <c r="B3" s="165" t="s">
        <v>151</v>
      </c>
      <c r="C3" s="44"/>
      <c r="D3" s="44"/>
      <c r="E3" s="44"/>
      <c r="F3" s="8"/>
      <c r="G3" s="43"/>
      <c r="H3" s="241"/>
      <c r="I3" s="99"/>
      <c r="J3" s="33"/>
      <c r="K3" s="33"/>
      <c r="L3" s="3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08"/>
      <c r="AK3" s="133"/>
      <c r="AL3" s="124"/>
      <c r="AM3" s="116"/>
      <c r="AN3" s="100"/>
      <c r="AO3" s="100"/>
      <c r="AP3" s="100"/>
      <c r="AQ3" s="100"/>
      <c r="AR3" s="100"/>
    </row>
    <row r="4" spans="1:45" s="417" customFormat="1" ht="12.75">
      <c r="A4" s="414">
        <v>4</v>
      </c>
      <c r="B4" s="307" t="s">
        <v>441</v>
      </c>
      <c r="C4" s="21" t="s">
        <v>129</v>
      </c>
      <c r="D4" s="21">
        <v>2.63</v>
      </c>
      <c r="E4" s="21">
        <v>4</v>
      </c>
      <c r="F4" s="16">
        <v>3287</v>
      </c>
      <c r="G4" s="7">
        <v>40</v>
      </c>
      <c r="H4" s="418"/>
      <c r="I4" s="419"/>
      <c r="J4" s="420"/>
      <c r="K4" s="420"/>
      <c r="L4" s="420"/>
      <c r="M4" s="420"/>
      <c r="N4" s="420"/>
      <c r="O4" s="420"/>
      <c r="P4" s="420"/>
      <c r="Q4" s="420"/>
      <c r="R4" s="389">
        <v>10</v>
      </c>
      <c r="S4" s="389">
        <v>547</v>
      </c>
      <c r="T4" s="389">
        <f>2921+244</f>
        <v>3165</v>
      </c>
      <c r="U4" s="389">
        <v>326</v>
      </c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1"/>
      <c r="AK4" s="133">
        <f aca="true" t="shared" si="0" ref="AK4:AK10">SUM(I4:AJ4)</f>
        <v>4048</v>
      </c>
      <c r="AL4" s="404"/>
      <c r="AM4" s="110" t="s">
        <v>323</v>
      </c>
      <c r="AN4" s="415"/>
      <c r="AO4" s="415"/>
      <c r="AP4" s="415"/>
      <c r="AQ4" s="415"/>
      <c r="AR4" s="415"/>
      <c r="AS4" s="416"/>
    </row>
    <row r="5" spans="1:44" ht="12.75">
      <c r="A5" s="197">
        <v>5</v>
      </c>
      <c r="B5" s="307" t="s">
        <v>131</v>
      </c>
      <c r="C5" s="21" t="s">
        <v>138</v>
      </c>
      <c r="D5" s="219">
        <v>3.2</v>
      </c>
      <c r="E5" s="21">
        <v>4</v>
      </c>
      <c r="F5" s="301">
        <v>4501</v>
      </c>
      <c r="G5" s="7">
        <v>50</v>
      </c>
      <c r="H5" s="56"/>
      <c r="I5" s="221"/>
      <c r="J5" s="222"/>
      <c r="K5" s="31">
        <v>1</v>
      </c>
      <c r="L5" s="31">
        <v>4</v>
      </c>
      <c r="M5" s="31"/>
      <c r="N5" s="31">
        <v>11</v>
      </c>
      <c r="O5" s="31">
        <v>11</v>
      </c>
      <c r="P5" s="222"/>
      <c r="Q5" s="22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222"/>
      <c r="AF5" s="222"/>
      <c r="AG5" s="222"/>
      <c r="AH5" s="222"/>
      <c r="AI5" s="222"/>
      <c r="AJ5" s="223"/>
      <c r="AK5" s="133">
        <f t="shared" si="0"/>
        <v>27</v>
      </c>
      <c r="AL5" s="124"/>
      <c r="AM5" s="110" t="s">
        <v>324</v>
      </c>
      <c r="AN5" s="72"/>
      <c r="AO5" s="72"/>
      <c r="AP5" s="72"/>
      <c r="AQ5" s="72"/>
      <c r="AR5" s="72"/>
    </row>
    <row r="6" spans="1:44" ht="12.75">
      <c r="A6" s="414">
        <v>6</v>
      </c>
      <c r="B6" s="20" t="s">
        <v>346</v>
      </c>
      <c r="C6" s="21" t="s">
        <v>129</v>
      </c>
      <c r="D6" s="219">
        <v>3.07</v>
      </c>
      <c r="E6" s="8">
        <v>4</v>
      </c>
      <c r="F6" s="8">
        <v>4400</v>
      </c>
      <c r="G6" s="7">
        <v>35</v>
      </c>
      <c r="H6" s="56"/>
      <c r="I6" s="221"/>
      <c r="J6" s="221"/>
      <c r="K6" s="221"/>
      <c r="L6" s="221"/>
      <c r="M6" s="221"/>
      <c r="N6" s="221"/>
      <c r="O6" s="355"/>
      <c r="P6" s="261">
        <v>4</v>
      </c>
      <c r="Q6" s="261">
        <v>6</v>
      </c>
      <c r="R6" s="261">
        <v>1</v>
      </c>
      <c r="S6" s="355"/>
      <c r="T6" s="355"/>
      <c r="U6" s="6"/>
      <c r="V6" s="6"/>
      <c r="W6" s="6"/>
      <c r="X6" s="6"/>
      <c r="Y6" s="6"/>
      <c r="Z6" s="6"/>
      <c r="AA6" s="6"/>
      <c r="AB6" s="6"/>
      <c r="AC6" s="6"/>
      <c r="AD6" s="6"/>
      <c r="AE6" s="222"/>
      <c r="AF6" s="222"/>
      <c r="AG6" s="222"/>
      <c r="AH6" s="222"/>
      <c r="AI6" s="222"/>
      <c r="AJ6" s="223"/>
      <c r="AK6" s="123">
        <f t="shared" si="0"/>
        <v>11</v>
      </c>
      <c r="AL6" s="124"/>
      <c r="AM6" s="110" t="s">
        <v>323</v>
      </c>
      <c r="AN6" s="72"/>
      <c r="AO6" s="72"/>
      <c r="AP6" s="72"/>
      <c r="AQ6" s="72"/>
      <c r="AR6" s="72"/>
    </row>
    <row r="7" spans="1:44" ht="12.75">
      <c r="A7" s="197">
        <v>7</v>
      </c>
      <c r="B7" s="307" t="s">
        <v>68</v>
      </c>
      <c r="C7" s="21" t="s">
        <v>129</v>
      </c>
      <c r="D7" s="219">
        <v>2.8</v>
      </c>
      <c r="E7" s="21" t="s">
        <v>67</v>
      </c>
      <c r="F7" s="8">
        <v>1160</v>
      </c>
      <c r="G7" s="7">
        <v>20.5</v>
      </c>
      <c r="H7" s="56"/>
      <c r="I7" s="221"/>
      <c r="J7" s="222"/>
      <c r="K7" s="222"/>
      <c r="L7" s="222"/>
      <c r="M7" s="222"/>
      <c r="N7" s="222"/>
      <c r="O7" s="222"/>
      <c r="P7" s="31">
        <v>4</v>
      </c>
      <c r="Q7" s="31">
        <v>50</v>
      </c>
      <c r="R7" s="31">
        <v>156</v>
      </c>
      <c r="S7" s="31">
        <v>160</v>
      </c>
      <c r="T7" s="6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3"/>
      <c r="AK7" s="123">
        <f t="shared" si="0"/>
        <v>370</v>
      </c>
      <c r="AL7" s="124"/>
      <c r="AM7" s="110" t="s">
        <v>325</v>
      </c>
      <c r="AN7" s="72"/>
      <c r="AO7" s="72"/>
      <c r="AP7" s="72"/>
      <c r="AQ7" s="72"/>
      <c r="AR7" s="72"/>
    </row>
    <row r="8" spans="1:44" ht="12.75">
      <c r="A8" s="414">
        <v>8</v>
      </c>
      <c r="B8" s="307" t="s">
        <v>66</v>
      </c>
      <c r="C8" s="21" t="s">
        <v>129</v>
      </c>
      <c r="D8" s="219">
        <v>2.73</v>
      </c>
      <c r="E8" s="21">
        <v>4</v>
      </c>
      <c r="F8" s="8">
        <v>1211</v>
      </c>
      <c r="G8" s="7">
        <v>22</v>
      </c>
      <c r="H8" s="56"/>
      <c r="I8" s="221"/>
      <c r="J8" s="222"/>
      <c r="K8" s="222"/>
      <c r="L8" s="222"/>
      <c r="M8" s="222"/>
      <c r="N8" s="222"/>
      <c r="O8" s="222"/>
      <c r="P8" s="31"/>
      <c r="Q8" s="336"/>
      <c r="R8" s="336"/>
      <c r="S8" s="336"/>
      <c r="T8" s="336"/>
      <c r="U8" s="336">
        <v>1</v>
      </c>
      <c r="V8" s="336"/>
      <c r="W8" s="336"/>
      <c r="X8" s="336"/>
      <c r="Y8" s="336"/>
      <c r="Z8" s="336"/>
      <c r="AA8" s="336"/>
      <c r="AB8" s="336"/>
      <c r="AC8" s="6"/>
      <c r="AD8" s="6"/>
      <c r="AE8" s="222"/>
      <c r="AF8" s="222"/>
      <c r="AG8" s="222"/>
      <c r="AH8" s="222"/>
      <c r="AI8" s="222"/>
      <c r="AJ8" s="223"/>
      <c r="AK8" s="123">
        <f t="shared" si="0"/>
        <v>1</v>
      </c>
      <c r="AL8" s="124"/>
      <c r="AM8" s="110" t="s">
        <v>65</v>
      </c>
      <c r="AN8" s="72"/>
      <c r="AO8" s="72"/>
      <c r="AP8" s="72"/>
      <c r="AQ8" s="72"/>
      <c r="AR8" s="72"/>
    </row>
    <row r="9" spans="1:44" ht="12.75">
      <c r="A9" s="197">
        <v>9</v>
      </c>
      <c r="B9" s="307" t="s">
        <v>331</v>
      </c>
      <c r="C9" s="21" t="s">
        <v>129</v>
      </c>
      <c r="D9" s="219">
        <v>2.385</v>
      </c>
      <c r="E9" s="21">
        <v>4</v>
      </c>
      <c r="F9" s="8">
        <v>1172</v>
      </c>
      <c r="G9" s="7">
        <v>30</v>
      </c>
      <c r="H9" s="56"/>
      <c r="I9" s="221"/>
      <c r="J9" s="222"/>
      <c r="K9" s="222"/>
      <c r="L9" s="222"/>
      <c r="M9" s="222"/>
      <c r="N9" s="222"/>
      <c r="O9" s="222"/>
      <c r="P9" s="31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1">
        <v>16</v>
      </c>
      <c r="AD9" s="70">
        <f>365+133-AE9</f>
        <v>365</v>
      </c>
      <c r="AE9" s="69">
        <v>133</v>
      </c>
      <c r="AF9" s="31"/>
      <c r="AG9" s="31"/>
      <c r="AH9" s="31"/>
      <c r="AI9" s="31"/>
      <c r="AJ9" s="356"/>
      <c r="AK9" s="123">
        <f t="shared" si="0"/>
        <v>514</v>
      </c>
      <c r="AL9" s="124"/>
      <c r="AM9" s="110" t="s">
        <v>243</v>
      </c>
      <c r="AN9" s="72"/>
      <c r="AO9" s="72"/>
      <c r="AP9" s="72"/>
      <c r="AQ9" s="72"/>
      <c r="AR9" s="72"/>
    </row>
    <row r="10" spans="1:44" ht="12.75">
      <c r="A10" s="414">
        <v>10</v>
      </c>
      <c r="B10" s="307" t="s">
        <v>92</v>
      </c>
      <c r="C10" s="21" t="s">
        <v>125</v>
      </c>
      <c r="D10" s="219">
        <v>2.63</v>
      </c>
      <c r="E10" s="16">
        <v>4</v>
      </c>
      <c r="F10" s="16">
        <v>3287</v>
      </c>
      <c r="G10" s="14">
        <v>42</v>
      </c>
      <c r="H10" s="56"/>
      <c r="I10" s="221"/>
      <c r="J10" s="222"/>
      <c r="K10" s="222"/>
      <c r="L10" s="222"/>
      <c r="M10" s="222"/>
      <c r="N10" s="222"/>
      <c r="O10" s="222"/>
      <c r="P10" s="31"/>
      <c r="Q10" s="31"/>
      <c r="R10" s="31"/>
      <c r="S10" s="31"/>
      <c r="T10" s="31"/>
      <c r="U10" s="333">
        <v>34</v>
      </c>
      <c r="V10" s="333">
        <v>9943</v>
      </c>
      <c r="W10" s="333">
        <v>15254</v>
      </c>
      <c r="X10" s="333">
        <v>16126</v>
      </c>
      <c r="Y10" s="333">
        <v>30</v>
      </c>
      <c r="Z10" s="31"/>
      <c r="AA10" s="31"/>
      <c r="AB10" s="31"/>
      <c r="AC10" s="31"/>
      <c r="AD10" s="222"/>
      <c r="AE10" s="222"/>
      <c r="AF10" s="31"/>
      <c r="AG10" s="31"/>
      <c r="AH10" s="31"/>
      <c r="AI10" s="31"/>
      <c r="AJ10" s="356"/>
      <c r="AK10" s="123">
        <f t="shared" si="0"/>
        <v>41387</v>
      </c>
      <c r="AL10" s="425">
        <v>41917</v>
      </c>
      <c r="AM10" s="110" t="s">
        <v>126</v>
      </c>
      <c r="AN10" s="72"/>
      <c r="AO10" s="72"/>
      <c r="AP10" s="72"/>
      <c r="AQ10" s="72"/>
      <c r="AR10" s="72"/>
    </row>
    <row r="11" spans="1:44" ht="12.75">
      <c r="A11" s="197">
        <v>11</v>
      </c>
      <c r="B11" s="307" t="s">
        <v>332</v>
      </c>
      <c r="C11" s="21" t="s">
        <v>125</v>
      </c>
      <c r="D11" s="219">
        <v>2.63</v>
      </c>
      <c r="E11" s="16">
        <v>4</v>
      </c>
      <c r="F11" s="16">
        <v>3287</v>
      </c>
      <c r="G11" s="14">
        <v>42</v>
      </c>
      <c r="H11" s="56"/>
      <c r="I11" s="221"/>
      <c r="J11" s="222"/>
      <c r="K11" s="222"/>
      <c r="L11" s="222"/>
      <c r="M11" s="222"/>
      <c r="N11" s="222"/>
      <c r="O11" s="222"/>
      <c r="P11" s="31"/>
      <c r="Q11" s="31"/>
      <c r="R11" s="31"/>
      <c r="S11" s="31"/>
      <c r="T11" s="31"/>
      <c r="U11" s="333"/>
      <c r="V11" s="333"/>
      <c r="W11" s="333">
        <v>83</v>
      </c>
      <c r="X11" s="333">
        <v>385</v>
      </c>
      <c r="Y11" s="333">
        <v>28</v>
      </c>
      <c r="Z11" s="31"/>
      <c r="AA11" s="31"/>
      <c r="AB11" s="31"/>
      <c r="AC11" s="31"/>
      <c r="AD11" s="222"/>
      <c r="AE11" s="222"/>
      <c r="AF11" s="31"/>
      <c r="AG11" s="31"/>
      <c r="AH11" s="31"/>
      <c r="AI11" s="31"/>
      <c r="AJ11" s="356"/>
      <c r="AK11" s="123">
        <f aca="true" t="shared" si="1" ref="AK11:AK20">SUM(I11:AJ11)</f>
        <v>496</v>
      </c>
      <c r="AL11" s="425">
        <f>AK11+AK10</f>
        <v>41883</v>
      </c>
      <c r="AM11" s="110"/>
      <c r="AN11" s="72"/>
      <c r="AO11" s="72"/>
      <c r="AP11" s="72"/>
      <c r="AQ11" s="72"/>
      <c r="AR11" s="72"/>
    </row>
    <row r="12" spans="1:44" ht="12.75">
      <c r="A12" s="414">
        <v>12</v>
      </c>
      <c r="B12" s="307" t="s">
        <v>147</v>
      </c>
      <c r="C12" s="15" t="s">
        <v>125</v>
      </c>
      <c r="D12" s="219">
        <v>2.63</v>
      </c>
      <c r="E12" s="16">
        <v>4</v>
      </c>
      <c r="F12" s="16">
        <v>3287</v>
      </c>
      <c r="G12" s="14">
        <v>42</v>
      </c>
      <c r="H12" s="51"/>
      <c r="I12" s="224"/>
      <c r="J12" s="41"/>
      <c r="K12" s="41"/>
      <c r="L12" s="41"/>
      <c r="M12" s="41"/>
      <c r="N12" s="41"/>
      <c r="O12" s="41"/>
      <c r="P12" s="18"/>
      <c r="Q12" s="68"/>
      <c r="R12" s="68"/>
      <c r="S12" s="68"/>
      <c r="T12" s="68"/>
      <c r="U12" s="68"/>
      <c r="V12" s="17">
        <v>257</v>
      </c>
      <c r="W12" s="17">
        <v>1734</v>
      </c>
      <c r="X12" s="17">
        <v>2342</v>
      </c>
      <c r="Y12" s="17">
        <v>932</v>
      </c>
      <c r="Z12" s="265"/>
      <c r="AA12" s="465"/>
      <c r="AB12" s="68"/>
      <c r="AC12" s="68"/>
      <c r="AD12" s="5"/>
      <c r="AE12" s="41"/>
      <c r="AF12" s="18"/>
      <c r="AG12" s="18"/>
      <c r="AH12" s="18"/>
      <c r="AI12" s="18"/>
      <c r="AJ12" s="109"/>
      <c r="AK12" s="123">
        <f t="shared" si="1"/>
        <v>5265</v>
      </c>
      <c r="AL12" s="376">
        <v>10648</v>
      </c>
      <c r="AM12" s="111" t="s">
        <v>275</v>
      </c>
      <c r="AN12" s="72"/>
      <c r="AO12" s="72"/>
      <c r="AP12" s="72"/>
      <c r="AQ12" s="72"/>
      <c r="AR12" s="72"/>
    </row>
    <row r="13" spans="1:44" ht="12.75">
      <c r="A13" s="197">
        <v>13</v>
      </c>
      <c r="B13" s="307" t="s">
        <v>353</v>
      </c>
      <c r="C13" s="15" t="s">
        <v>125</v>
      </c>
      <c r="D13" s="219">
        <v>2.63</v>
      </c>
      <c r="E13" s="16">
        <v>4</v>
      </c>
      <c r="F13" s="16">
        <v>3287</v>
      </c>
      <c r="G13" s="14">
        <v>42</v>
      </c>
      <c r="H13" s="51"/>
      <c r="I13" s="224"/>
      <c r="J13" s="41"/>
      <c r="K13" s="41"/>
      <c r="L13" s="41"/>
      <c r="M13" s="41"/>
      <c r="N13" s="41"/>
      <c r="O13" s="41"/>
      <c r="P13" s="18"/>
      <c r="Q13" s="68"/>
      <c r="R13" s="68"/>
      <c r="S13" s="68"/>
      <c r="T13" s="68"/>
      <c r="U13" s="68"/>
      <c r="V13" s="17">
        <v>3</v>
      </c>
      <c r="W13" s="17">
        <v>7</v>
      </c>
      <c r="X13" s="17">
        <v>22</v>
      </c>
      <c r="Y13" s="17">
        <v>4</v>
      </c>
      <c r="Z13" s="17">
        <v>1</v>
      </c>
      <c r="AA13" s="465"/>
      <c r="AB13" s="68"/>
      <c r="AC13" s="68"/>
      <c r="AD13" s="5"/>
      <c r="AE13" s="41"/>
      <c r="AF13" s="18"/>
      <c r="AG13" s="18"/>
      <c r="AH13" s="18"/>
      <c r="AI13" s="18"/>
      <c r="AJ13" s="109"/>
      <c r="AK13" s="123">
        <f t="shared" si="1"/>
        <v>37</v>
      </c>
      <c r="AL13" s="376"/>
      <c r="AM13" s="111" t="s">
        <v>329</v>
      </c>
      <c r="AN13" s="72"/>
      <c r="AO13" s="72"/>
      <c r="AP13" s="72"/>
      <c r="AQ13" s="72"/>
      <c r="AR13" s="72"/>
    </row>
    <row r="14" spans="1:44" ht="12.75">
      <c r="A14" s="414">
        <v>14</v>
      </c>
      <c r="B14" s="307" t="s">
        <v>339</v>
      </c>
      <c r="C14" s="522" t="s">
        <v>125</v>
      </c>
      <c r="D14" s="405">
        <v>2.6</v>
      </c>
      <c r="E14" s="16">
        <v>4</v>
      </c>
      <c r="F14" s="16">
        <v>3287</v>
      </c>
      <c r="G14" s="14">
        <v>42</v>
      </c>
      <c r="H14" s="51"/>
      <c r="I14" s="224"/>
      <c r="J14" s="41"/>
      <c r="K14" s="41"/>
      <c r="L14" s="41"/>
      <c r="M14" s="41"/>
      <c r="N14" s="41"/>
      <c r="O14" s="41"/>
      <c r="P14" s="18"/>
      <c r="Q14" s="68"/>
      <c r="R14" s="68"/>
      <c r="S14" s="68"/>
      <c r="T14" s="68"/>
      <c r="U14" s="68"/>
      <c r="V14" s="17"/>
      <c r="W14" s="17">
        <v>22</v>
      </c>
      <c r="X14" s="17">
        <v>79</v>
      </c>
      <c r="Y14" s="17">
        <v>136</v>
      </c>
      <c r="Z14" s="17"/>
      <c r="AA14" s="465"/>
      <c r="AB14" s="68"/>
      <c r="AC14" s="68"/>
      <c r="AD14" s="5"/>
      <c r="AE14" s="41"/>
      <c r="AF14" s="18"/>
      <c r="AG14" s="18"/>
      <c r="AH14" s="18"/>
      <c r="AI14" s="18"/>
      <c r="AJ14" s="109"/>
      <c r="AK14" s="123">
        <f>SUM(I14:AJ14)</f>
        <v>237</v>
      </c>
      <c r="AL14" s="376"/>
      <c r="AM14" s="111" t="s">
        <v>338</v>
      </c>
      <c r="AN14" s="72"/>
      <c r="AO14" s="72"/>
      <c r="AP14" s="72"/>
      <c r="AQ14" s="72"/>
      <c r="AR14" s="72"/>
    </row>
    <row r="15" spans="1:44" ht="12.75">
      <c r="A15" s="197">
        <v>15</v>
      </c>
      <c r="B15" s="307" t="s">
        <v>337</v>
      </c>
      <c r="C15" s="522" t="s">
        <v>125</v>
      </c>
      <c r="D15" s="219">
        <v>2.6</v>
      </c>
      <c r="E15" s="16">
        <v>4</v>
      </c>
      <c r="F15" s="16">
        <v>3287</v>
      </c>
      <c r="G15" s="14">
        <v>50</v>
      </c>
      <c r="H15" s="51"/>
      <c r="I15" s="224"/>
      <c r="J15" s="41"/>
      <c r="K15" s="41"/>
      <c r="L15" s="41"/>
      <c r="M15" s="41"/>
      <c r="N15" s="41"/>
      <c r="O15" s="41"/>
      <c r="P15" s="18"/>
      <c r="Q15" s="68"/>
      <c r="R15" s="68"/>
      <c r="S15" s="68"/>
      <c r="T15" s="68"/>
      <c r="U15" s="68"/>
      <c r="V15" s="17"/>
      <c r="W15" s="17"/>
      <c r="X15" s="17"/>
      <c r="Y15" s="17"/>
      <c r="Z15" s="17">
        <v>4</v>
      </c>
      <c r="AA15" s="465"/>
      <c r="AB15" s="68"/>
      <c r="AC15" s="68"/>
      <c r="AD15" s="5"/>
      <c r="AE15" s="41"/>
      <c r="AF15" s="18"/>
      <c r="AG15" s="18"/>
      <c r="AH15" s="18"/>
      <c r="AI15" s="18"/>
      <c r="AJ15" s="109"/>
      <c r="AK15" s="123">
        <f t="shared" si="1"/>
        <v>4</v>
      </c>
      <c r="AL15" s="376"/>
      <c r="AM15" s="111" t="s">
        <v>333</v>
      </c>
      <c r="AN15" s="72"/>
      <c r="AO15" s="72"/>
      <c r="AP15" s="72"/>
      <c r="AQ15" s="72"/>
      <c r="AR15" s="72"/>
    </row>
    <row r="16" spans="1:44" ht="12.75">
      <c r="A16" s="414">
        <v>16</v>
      </c>
      <c r="B16" s="307" t="s">
        <v>341</v>
      </c>
      <c r="C16" s="522" t="s">
        <v>125</v>
      </c>
      <c r="D16" s="219">
        <v>2.44</v>
      </c>
      <c r="E16" s="16">
        <v>6</v>
      </c>
      <c r="F16" s="16">
        <v>3485</v>
      </c>
      <c r="G16" s="14">
        <v>76</v>
      </c>
      <c r="H16" s="51"/>
      <c r="I16" s="224"/>
      <c r="J16" s="41"/>
      <c r="K16" s="41"/>
      <c r="L16" s="41"/>
      <c r="M16" s="41"/>
      <c r="N16" s="41"/>
      <c r="O16" s="41"/>
      <c r="P16" s="18"/>
      <c r="Q16" s="68"/>
      <c r="R16" s="68"/>
      <c r="S16" s="68"/>
      <c r="T16" s="68"/>
      <c r="U16" s="68"/>
      <c r="V16" s="17"/>
      <c r="W16" s="17"/>
      <c r="X16" s="17"/>
      <c r="Y16" s="17"/>
      <c r="Z16" s="17">
        <v>2</v>
      </c>
      <c r="AA16" s="465"/>
      <c r="AB16" s="68"/>
      <c r="AC16" s="68"/>
      <c r="AD16" s="5"/>
      <c r="AE16" s="41"/>
      <c r="AF16" s="18"/>
      <c r="AG16" s="18"/>
      <c r="AH16" s="18"/>
      <c r="AI16" s="18"/>
      <c r="AJ16" s="109"/>
      <c r="AK16" s="123">
        <f>SUM(I16:AJ16)</f>
        <v>2</v>
      </c>
      <c r="AL16" s="376"/>
      <c r="AM16" s="111" t="s">
        <v>340</v>
      </c>
      <c r="AN16" s="72"/>
      <c r="AO16" s="72"/>
      <c r="AP16" s="72"/>
      <c r="AQ16" s="72"/>
      <c r="AR16" s="72"/>
    </row>
    <row r="17" spans="1:44" ht="12.75">
      <c r="A17" s="197">
        <v>17</v>
      </c>
      <c r="B17" s="306" t="s">
        <v>377</v>
      </c>
      <c r="C17" s="15" t="s">
        <v>125</v>
      </c>
      <c r="D17" s="220">
        <v>2.845</v>
      </c>
      <c r="E17" s="16">
        <v>4</v>
      </c>
      <c r="F17" s="16">
        <v>3287</v>
      </c>
      <c r="G17" s="14">
        <v>50</v>
      </c>
      <c r="H17" s="51"/>
      <c r="I17" s="224"/>
      <c r="J17" s="41"/>
      <c r="K17" s="41"/>
      <c r="L17" s="41"/>
      <c r="M17" s="41"/>
      <c r="N17" s="41"/>
      <c r="O17" s="41"/>
      <c r="P17" s="18"/>
      <c r="Q17" s="18"/>
      <c r="R17" s="18"/>
      <c r="S17" s="18"/>
      <c r="T17" s="18"/>
      <c r="U17" s="18"/>
      <c r="V17" s="68"/>
      <c r="W17" s="68">
        <v>3</v>
      </c>
      <c r="X17" s="68"/>
      <c r="Y17" s="17">
        <v>2431</v>
      </c>
      <c r="Z17" s="17">
        <v>16654</v>
      </c>
      <c r="AA17" s="17">
        <v>22752</v>
      </c>
      <c r="AB17" s="17">
        <v>15202</v>
      </c>
      <c r="AC17" s="17">
        <v>2099</v>
      </c>
      <c r="AD17" s="52">
        <f>1242-AE17</f>
        <v>942</v>
      </c>
      <c r="AE17" s="53">
        <v>300</v>
      </c>
      <c r="AF17" s="17">
        <v>12</v>
      </c>
      <c r="AG17" s="17"/>
      <c r="AH17" s="68"/>
      <c r="AI17" s="68"/>
      <c r="AJ17" s="109"/>
      <c r="AK17" s="123">
        <f t="shared" si="1"/>
        <v>60395</v>
      </c>
      <c r="AL17" s="426">
        <v>62888</v>
      </c>
      <c r="AM17" s="111" t="s">
        <v>326</v>
      </c>
      <c r="AN17" s="72"/>
      <c r="AO17" s="72"/>
      <c r="AP17" s="72"/>
      <c r="AQ17" s="72"/>
      <c r="AR17" s="72"/>
    </row>
    <row r="18" spans="1:44" ht="12.75">
      <c r="A18" s="414">
        <v>18</v>
      </c>
      <c r="B18" s="306" t="s">
        <v>378</v>
      </c>
      <c r="C18" s="15" t="s">
        <v>125</v>
      </c>
      <c r="D18" s="220">
        <v>2.845</v>
      </c>
      <c r="E18" s="16">
        <v>4</v>
      </c>
      <c r="F18" s="16">
        <v>3287</v>
      </c>
      <c r="G18" s="14">
        <v>50</v>
      </c>
      <c r="H18" s="51"/>
      <c r="I18" s="224"/>
      <c r="J18" s="41"/>
      <c r="K18" s="41"/>
      <c r="L18" s="41"/>
      <c r="M18" s="41"/>
      <c r="N18" s="41"/>
      <c r="O18" s="41"/>
      <c r="P18" s="18"/>
      <c r="Q18" s="18"/>
      <c r="R18" s="18"/>
      <c r="S18" s="18"/>
      <c r="T18" s="466"/>
      <c r="U18" s="18"/>
      <c r="V18" s="68"/>
      <c r="W18" s="68"/>
      <c r="X18" s="68"/>
      <c r="Y18" s="17">
        <v>93</v>
      </c>
      <c r="Z18" s="17">
        <v>290</v>
      </c>
      <c r="AA18" s="17">
        <v>348</v>
      </c>
      <c r="AB18" s="17">
        <v>552</v>
      </c>
      <c r="AC18" s="17">
        <v>321</v>
      </c>
      <c r="AD18" s="17">
        <f>876-AE18</f>
        <v>876</v>
      </c>
      <c r="AE18" s="17"/>
      <c r="AF18" s="17"/>
      <c r="AG18" s="17"/>
      <c r="AH18" s="68"/>
      <c r="AI18" s="68"/>
      <c r="AJ18" s="109"/>
      <c r="AK18" s="123">
        <f t="shared" si="1"/>
        <v>2480</v>
      </c>
      <c r="AL18" s="426">
        <f>AK18+AK17</f>
        <v>62875</v>
      </c>
      <c r="AM18" s="111"/>
      <c r="AN18" s="72"/>
      <c r="AO18" s="72"/>
      <c r="AP18" s="72"/>
      <c r="AQ18" s="72"/>
      <c r="AR18" s="72"/>
    </row>
    <row r="19" spans="1:44" ht="12.75">
      <c r="A19" s="197">
        <v>19</v>
      </c>
      <c r="B19" s="309" t="s">
        <v>379</v>
      </c>
      <c r="C19" s="26" t="s">
        <v>125</v>
      </c>
      <c r="D19" s="220">
        <v>2.845</v>
      </c>
      <c r="E19" s="16">
        <v>4</v>
      </c>
      <c r="F19" s="16">
        <v>3287</v>
      </c>
      <c r="G19" s="14">
        <v>50</v>
      </c>
      <c r="H19" s="51"/>
      <c r="I19" s="224"/>
      <c r="J19" s="41"/>
      <c r="K19" s="41"/>
      <c r="L19" s="41"/>
      <c r="M19" s="41"/>
      <c r="N19" s="41"/>
      <c r="O19" s="41"/>
      <c r="P19" s="18"/>
      <c r="Q19" s="18"/>
      <c r="R19" s="18"/>
      <c r="S19" s="18"/>
      <c r="T19" s="466"/>
      <c r="U19" s="68"/>
      <c r="V19" s="68"/>
      <c r="W19" s="68"/>
      <c r="X19" s="68"/>
      <c r="Y19" s="68"/>
      <c r="Z19" s="18">
        <v>1</v>
      </c>
      <c r="AA19" s="18">
        <v>1</v>
      </c>
      <c r="AB19" s="17">
        <v>1006</v>
      </c>
      <c r="AC19" s="17">
        <v>2884</v>
      </c>
      <c r="AD19" s="17">
        <v>1492</v>
      </c>
      <c r="AE19" s="17"/>
      <c r="AF19" s="68"/>
      <c r="AG19" s="68"/>
      <c r="AH19" s="68"/>
      <c r="AI19" s="68"/>
      <c r="AJ19" s="109"/>
      <c r="AK19" s="123">
        <f t="shared" si="1"/>
        <v>5384</v>
      </c>
      <c r="AL19" s="125">
        <f>AK19+AK12</f>
        <v>10649</v>
      </c>
      <c r="AM19" s="111" t="s">
        <v>276</v>
      </c>
      <c r="AN19" s="78"/>
      <c r="AO19" s="78"/>
      <c r="AP19" s="78"/>
      <c r="AQ19" s="78"/>
      <c r="AR19" s="78"/>
    </row>
    <row r="20" spans="1:44" ht="12.75">
      <c r="A20" s="414">
        <v>20</v>
      </c>
      <c r="B20" s="306" t="s">
        <v>380</v>
      </c>
      <c r="C20" s="62" t="s">
        <v>125</v>
      </c>
      <c r="D20" s="220">
        <v>2.845</v>
      </c>
      <c r="E20" s="16">
        <v>6</v>
      </c>
      <c r="F20" s="16">
        <v>3485</v>
      </c>
      <c r="G20" s="14">
        <v>76</v>
      </c>
      <c r="H20" s="51"/>
      <c r="I20" s="224"/>
      <c r="J20" s="41"/>
      <c r="K20" s="41"/>
      <c r="L20" s="41"/>
      <c r="M20" s="41"/>
      <c r="N20" s="41"/>
      <c r="O20" s="41"/>
      <c r="P20" s="18"/>
      <c r="Q20" s="18"/>
      <c r="R20" s="18"/>
      <c r="S20" s="18"/>
      <c r="T20" s="466"/>
      <c r="U20" s="68"/>
      <c r="V20" s="68"/>
      <c r="W20" s="68"/>
      <c r="X20" s="68"/>
      <c r="Y20" s="68"/>
      <c r="Z20" s="68"/>
      <c r="AA20" s="18">
        <v>4</v>
      </c>
      <c r="AB20" s="18">
        <v>1</v>
      </c>
      <c r="AC20" s="18"/>
      <c r="AD20" s="18">
        <v>1</v>
      </c>
      <c r="AE20" s="18"/>
      <c r="AF20" s="18"/>
      <c r="AG20" s="18"/>
      <c r="AH20" s="18"/>
      <c r="AI20" s="18"/>
      <c r="AJ20" s="109"/>
      <c r="AK20" s="123">
        <f t="shared" si="1"/>
        <v>6</v>
      </c>
      <c r="AL20" s="125"/>
      <c r="AM20" s="110" t="s">
        <v>328</v>
      </c>
      <c r="AN20" s="72"/>
      <c r="AO20" s="72"/>
      <c r="AP20" s="72"/>
      <c r="AQ20" s="72"/>
      <c r="AR20" s="72"/>
    </row>
    <row r="21" spans="1:44" ht="12.75">
      <c r="A21" s="197">
        <v>21</v>
      </c>
      <c r="B21" s="306" t="s">
        <v>381</v>
      </c>
      <c r="C21" s="15" t="s">
        <v>125</v>
      </c>
      <c r="D21" s="220">
        <v>2.845</v>
      </c>
      <c r="E21" s="16">
        <v>6</v>
      </c>
      <c r="F21" s="16">
        <v>3485</v>
      </c>
      <c r="G21" s="14">
        <v>76</v>
      </c>
      <c r="H21" s="51"/>
      <c r="I21" s="224"/>
      <c r="J21" s="41"/>
      <c r="K21" s="41"/>
      <c r="L21" s="41"/>
      <c r="M21" s="41"/>
      <c r="N21" s="41"/>
      <c r="O21" s="4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68"/>
      <c r="AA21" s="68"/>
      <c r="AB21" s="68"/>
      <c r="AC21" s="17">
        <v>7</v>
      </c>
      <c r="AD21" s="58">
        <f>107-AE21</f>
        <v>17</v>
      </c>
      <c r="AE21" s="427">
        <v>90</v>
      </c>
      <c r="AF21" s="17">
        <v>286</v>
      </c>
      <c r="AG21" s="17">
        <v>744</v>
      </c>
      <c r="AH21" s="17">
        <v>0</v>
      </c>
      <c r="AI21" s="265"/>
      <c r="AJ21" s="469">
        <f>1177-1144</f>
        <v>33</v>
      </c>
      <c r="AK21" s="123">
        <f aca="true" t="shared" si="2" ref="AK21:AK26">SUM(I21:AJ21)</f>
        <v>1177</v>
      </c>
      <c r="AL21" s="125"/>
      <c r="AM21" s="111" t="s">
        <v>334</v>
      </c>
      <c r="AN21" s="72"/>
      <c r="AO21" s="72"/>
      <c r="AP21" s="72"/>
      <c r="AQ21" s="72"/>
      <c r="AR21" s="72"/>
    </row>
    <row r="22" spans="1:44" ht="12.75">
      <c r="A22" s="414">
        <v>22</v>
      </c>
      <c r="B22" s="309" t="s">
        <v>327</v>
      </c>
      <c r="C22" s="522" t="s">
        <v>125</v>
      </c>
      <c r="D22" s="220">
        <v>2.855</v>
      </c>
      <c r="E22" s="16">
        <v>6</v>
      </c>
      <c r="F22" s="16">
        <v>3485</v>
      </c>
      <c r="G22" s="14">
        <v>76</v>
      </c>
      <c r="H22" s="51"/>
      <c r="I22" s="224"/>
      <c r="J22" s="41"/>
      <c r="K22" s="41"/>
      <c r="L22" s="41"/>
      <c r="M22" s="41"/>
      <c r="N22" s="41"/>
      <c r="O22" s="41"/>
      <c r="P22" s="18"/>
      <c r="Q22" s="18"/>
      <c r="R22" s="18"/>
      <c r="S22" s="18"/>
      <c r="T22" s="466"/>
      <c r="U22" s="68"/>
      <c r="V22" s="68"/>
      <c r="W22" s="68"/>
      <c r="X22" s="68"/>
      <c r="Y22" s="68"/>
      <c r="Z22" s="68"/>
      <c r="AA22" s="18"/>
      <c r="AB22" s="18">
        <v>1</v>
      </c>
      <c r="AC22" s="18">
        <v>4</v>
      </c>
      <c r="AD22" s="18">
        <v>1</v>
      </c>
      <c r="AE22" s="18"/>
      <c r="AF22" s="18"/>
      <c r="AG22" s="18"/>
      <c r="AH22" s="18"/>
      <c r="AI22" s="18"/>
      <c r="AJ22" s="109"/>
      <c r="AK22" s="123">
        <f t="shared" si="2"/>
        <v>6</v>
      </c>
      <c r="AL22" s="125"/>
      <c r="AM22" s="110" t="s">
        <v>323</v>
      </c>
      <c r="AN22" s="72"/>
      <c r="AO22" s="72"/>
      <c r="AP22" s="72"/>
      <c r="AQ22" s="72"/>
      <c r="AR22" s="72"/>
    </row>
    <row r="23" spans="1:44" ht="12.75">
      <c r="A23" s="197">
        <v>23</v>
      </c>
      <c r="B23" s="309" t="s">
        <v>148</v>
      </c>
      <c r="C23" s="522" t="s">
        <v>125</v>
      </c>
      <c r="D23" s="220">
        <v>2.855</v>
      </c>
      <c r="E23" s="16">
        <v>6</v>
      </c>
      <c r="F23" s="16">
        <v>3485</v>
      </c>
      <c r="G23" s="14">
        <v>85</v>
      </c>
      <c r="H23" s="51"/>
      <c r="I23" s="224"/>
      <c r="J23" s="41"/>
      <c r="K23" s="41"/>
      <c r="L23" s="41"/>
      <c r="M23" s="41"/>
      <c r="N23" s="41"/>
      <c r="O23" s="41"/>
      <c r="P23" s="18"/>
      <c r="Q23" s="18"/>
      <c r="R23" s="18"/>
      <c r="S23" s="18"/>
      <c r="T23" s="18"/>
      <c r="U23" s="18"/>
      <c r="V23" s="68"/>
      <c r="W23" s="68"/>
      <c r="X23" s="68"/>
      <c r="Y23" s="18"/>
      <c r="Z23" s="68"/>
      <c r="AA23" s="68"/>
      <c r="AB23" s="68"/>
      <c r="AC23" s="68"/>
      <c r="AD23" s="52">
        <f>180-AE23</f>
        <v>120</v>
      </c>
      <c r="AE23" s="53">
        <v>60</v>
      </c>
      <c r="AF23" s="18">
        <v>1</v>
      </c>
      <c r="AG23" s="18"/>
      <c r="AH23" s="18"/>
      <c r="AI23" s="18"/>
      <c r="AJ23" s="109"/>
      <c r="AK23" s="123">
        <f t="shared" si="2"/>
        <v>181</v>
      </c>
      <c r="AL23" s="125"/>
      <c r="AM23" s="111" t="s">
        <v>235</v>
      </c>
      <c r="AN23" s="72"/>
      <c r="AO23" s="72"/>
      <c r="AP23" s="72"/>
      <c r="AQ23" s="72"/>
      <c r="AR23" s="72"/>
    </row>
    <row r="24" spans="1:44" ht="12.75">
      <c r="A24" s="414">
        <v>24</v>
      </c>
      <c r="B24" s="309" t="s">
        <v>364</v>
      </c>
      <c r="C24" s="522" t="s">
        <v>125</v>
      </c>
      <c r="D24" s="220">
        <v>2.845</v>
      </c>
      <c r="E24" s="16">
        <v>6</v>
      </c>
      <c r="F24" s="16">
        <v>3485</v>
      </c>
      <c r="G24" s="14">
        <v>85</v>
      </c>
      <c r="H24" s="51"/>
      <c r="I24" s="224"/>
      <c r="J24" s="41"/>
      <c r="K24" s="41"/>
      <c r="L24" s="41"/>
      <c r="M24" s="41"/>
      <c r="N24" s="41"/>
      <c r="O24" s="41"/>
      <c r="P24" s="18"/>
      <c r="Q24" s="18"/>
      <c r="R24" s="18"/>
      <c r="S24" s="18"/>
      <c r="T24" s="466"/>
      <c r="U24" s="68"/>
      <c r="V24" s="68"/>
      <c r="W24" s="68"/>
      <c r="X24" s="68"/>
      <c r="Y24" s="68"/>
      <c r="Z24" s="68"/>
      <c r="AA24" s="68"/>
      <c r="AB24" s="68"/>
      <c r="AC24" s="68"/>
      <c r="AD24" s="5"/>
      <c r="AE24" s="18">
        <v>36</v>
      </c>
      <c r="AF24" s="68"/>
      <c r="AG24" s="68"/>
      <c r="AH24" s="68"/>
      <c r="AI24" s="68"/>
      <c r="AJ24" s="109"/>
      <c r="AK24" s="123">
        <f t="shared" si="2"/>
        <v>36</v>
      </c>
      <c r="AL24" s="125"/>
      <c r="AM24" s="111" t="s">
        <v>311</v>
      </c>
      <c r="AN24" s="78"/>
      <c r="AO24" s="78"/>
      <c r="AP24" s="78"/>
      <c r="AQ24" s="78"/>
      <c r="AR24" s="78"/>
    </row>
    <row r="25" spans="1:44" ht="12.75">
      <c r="A25" s="197">
        <v>25</v>
      </c>
      <c r="B25" s="306" t="s">
        <v>365</v>
      </c>
      <c r="C25" s="522" t="s">
        <v>125</v>
      </c>
      <c r="D25" s="220">
        <v>2.1</v>
      </c>
      <c r="E25" s="16">
        <v>4</v>
      </c>
      <c r="F25" s="16">
        <v>3287</v>
      </c>
      <c r="G25" s="14">
        <v>50</v>
      </c>
      <c r="H25" s="51"/>
      <c r="I25" s="224"/>
      <c r="J25" s="41"/>
      <c r="K25" s="41"/>
      <c r="L25" s="41"/>
      <c r="M25" s="41"/>
      <c r="N25" s="41"/>
      <c r="O25" s="41"/>
      <c r="P25" s="18"/>
      <c r="Q25" s="18"/>
      <c r="R25" s="18"/>
      <c r="S25" s="18"/>
      <c r="T25" s="18"/>
      <c r="U25" s="18"/>
      <c r="V25" s="68"/>
      <c r="W25" s="68"/>
      <c r="X25" s="68"/>
      <c r="Y25" s="18"/>
      <c r="Z25" s="68"/>
      <c r="AA25" s="68"/>
      <c r="AB25" s="68"/>
      <c r="AC25" s="68"/>
      <c r="AD25" s="5"/>
      <c r="AE25" s="17">
        <v>601</v>
      </c>
      <c r="AF25" s="17">
        <v>1742</v>
      </c>
      <c r="AG25" s="467">
        <v>62</v>
      </c>
      <c r="AH25" s="68"/>
      <c r="AI25" s="68"/>
      <c r="AJ25" s="109"/>
      <c r="AK25" s="123">
        <f t="shared" si="2"/>
        <v>2405</v>
      </c>
      <c r="AL25" s="125"/>
      <c r="AM25" s="111" t="s">
        <v>344</v>
      </c>
      <c r="AN25" s="72"/>
      <c r="AO25" s="72"/>
      <c r="AP25" s="72"/>
      <c r="AQ25" s="72"/>
      <c r="AR25" s="72"/>
    </row>
    <row r="26" spans="1:44" ht="12.75">
      <c r="A26" s="414">
        <v>26</v>
      </c>
      <c r="B26" s="306" t="s">
        <v>366</v>
      </c>
      <c r="C26" s="522" t="s">
        <v>125</v>
      </c>
      <c r="D26" s="220">
        <v>2.1</v>
      </c>
      <c r="E26" s="16">
        <v>4</v>
      </c>
      <c r="F26" s="16">
        <v>3287</v>
      </c>
      <c r="G26" s="14">
        <v>54</v>
      </c>
      <c r="H26" s="51"/>
      <c r="I26" s="224"/>
      <c r="J26" s="41"/>
      <c r="K26" s="41"/>
      <c r="L26" s="41"/>
      <c r="M26" s="41"/>
      <c r="N26" s="41"/>
      <c r="O26" s="4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8"/>
      <c r="AA26" s="68"/>
      <c r="AB26" s="68"/>
      <c r="AC26" s="68"/>
      <c r="AD26" s="5"/>
      <c r="AE26" s="5"/>
      <c r="AF26" s="17">
        <f>2931</f>
        <v>2931</v>
      </c>
      <c r="AG26" s="17">
        <f>5264</f>
        <v>5264</v>
      </c>
      <c r="AH26" s="17">
        <f>7318</f>
        <v>7318</v>
      </c>
      <c r="AI26" s="17">
        <v>4851</v>
      </c>
      <c r="AJ26" s="468" t="s">
        <v>0</v>
      </c>
      <c r="AK26" s="123">
        <f t="shared" si="2"/>
        <v>20364</v>
      </c>
      <c r="AL26" s="125"/>
      <c r="AM26" s="111" t="s">
        <v>343</v>
      </c>
      <c r="AN26" s="72"/>
      <c r="AO26" s="72"/>
      <c r="AP26" s="72"/>
      <c r="AQ26" s="72"/>
      <c r="AR26" s="72"/>
    </row>
    <row r="27" spans="1:44" ht="12.75">
      <c r="A27" s="414">
        <v>27</v>
      </c>
      <c r="B27" s="499" t="s">
        <v>64</v>
      </c>
      <c r="C27" s="15" t="s">
        <v>127</v>
      </c>
      <c r="D27" s="219">
        <v>3.38</v>
      </c>
      <c r="E27" s="16">
        <v>8</v>
      </c>
      <c r="F27" s="16">
        <v>5641</v>
      </c>
      <c r="G27" s="14">
        <v>105</v>
      </c>
      <c r="H27" s="51"/>
      <c r="I27" s="224"/>
      <c r="J27" s="41"/>
      <c r="K27" s="41"/>
      <c r="L27" s="41"/>
      <c r="M27" s="41"/>
      <c r="N27" s="41"/>
      <c r="O27" s="41"/>
      <c r="P27" s="18"/>
      <c r="Q27" s="18"/>
      <c r="R27" s="18"/>
      <c r="S27" s="18"/>
      <c r="T27" s="18"/>
      <c r="U27" s="18"/>
      <c r="V27" s="18">
        <v>6</v>
      </c>
      <c r="W27" s="18"/>
      <c r="X27" s="18"/>
      <c r="Y27" s="18"/>
      <c r="Z27" s="68"/>
      <c r="AA27" s="68"/>
      <c r="AB27" s="68"/>
      <c r="AC27" s="68"/>
      <c r="AD27" s="5"/>
      <c r="AE27" s="5"/>
      <c r="AF27" s="68"/>
      <c r="AG27" s="68"/>
      <c r="AH27" s="68"/>
      <c r="AI27" s="68"/>
      <c r="AJ27" s="109"/>
      <c r="AK27" s="123">
        <f>SUM(I27:AJ27)</f>
        <v>6</v>
      </c>
      <c r="AL27" s="125"/>
      <c r="AM27" s="111" t="s">
        <v>70</v>
      </c>
      <c r="AN27" s="72"/>
      <c r="AO27" s="72"/>
      <c r="AP27" s="72"/>
      <c r="AQ27" s="72"/>
      <c r="AR27" s="72"/>
    </row>
    <row r="28" spans="1:44" ht="12.75">
      <c r="A28" s="197">
        <v>28</v>
      </c>
      <c r="B28" s="306" t="s">
        <v>406</v>
      </c>
      <c r="C28" s="15" t="s">
        <v>129</v>
      </c>
      <c r="D28" s="220">
        <v>3.605</v>
      </c>
      <c r="E28" s="16">
        <v>8</v>
      </c>
      <c r="F28" s="16">
        <v>5768</v>
      </c>
      <c r="G28" s="14">
        <v>110</v>
      </c>
      <c r="H28" s="51"/>
      <c r="I28" s="224"/>
      <c r="J28" s="41"/>
      <c r="K28" s="41"/>
      <c r="L28" s="41"/>
      <c r="M28" s="41"/>
      <c r="N28" s="41"/>
      <c r="O28" s="41"/>
      <c r="P28" s="18"/>
      <c r="Q28" s="18"/>
      <c r="R28" s="18"/>
      <c r="S28" s="18"/>
      <c r="T28" s="18"/>
      <c r="U28" s="18"/>
      <c r="V28" s="18"/>
      <c r="W28" s="18"/>
      <c r="X28" s="18"/>
      <c r="Y28" s="18">
        <v>11</v>
      </c>
      <c r="Z28" s="17">
        <v>1294</v>
      </c>
      <c r="AA28" s="17">
        <f>1+3884</f>
        <v>3885</v>
      </c>
      <c r="AB28" s="17">
        <f>8+2877</f>
        <v>2885</v>
      </c>
      <c r="AC28" s="17">
        <v>199</v>
      </c>
      <c r="AD28" s="17">
        <v>475</v>
      </c>
      <c r="AE28" s="17"/>
      <c r="AF28" s="17">
        <v>1</v>
      </c>
      <c r="AG28" s="68"/>
      <c r="AH28" s="68"/>
      <c r="AI28" s="68"/>
      <c r="AJ28" s="109"/>
      <c r="AK28" s="123">
        <f>SUM(I28:AJ28)</f>
        <v>8750</v>
      </c>
      <c r="AL28" s="125"/>
      <c r="AM28" s="111" t="s">
        <v>330</v>
      </c>
      <c r="AN28" s="72"/>
      <c r="AO28" s="72"/>
      <c r="AP28" s="72"/>
      <c r="AQ28" s="72"/>
      <c r="AR28" s="72"/>
    </row>
    <row r="29" spans="1:44" ht="12.75">
      <c r="A29" s="197">
        <v>29</v>
      </c>
      <c r="B29" s="306" t="s">
        <v>347</v>
      </c>
      <c r="C29" s="21"/>
      <c r="D29" s="220"/>
      <c r="E29" s="16"/>
      <c r="F29" s="16"/>
      <c r="G29" s="14"/>
      <c r="H29" s="51"/>
      <c r="I29" s="224"/>
      <c r="J29" s="41"/>
      <c r="K29" s="41"/>
      <c r="L29" s="41"/>
      <c r="M29" s="41"/>
      <c r="N29" s="41"/>
      <c r="O29" s="41"/>
      <c r="P29" s="18"/>
      <c r="Q29" s="68"/>
      <c r="R29" s="68"/>
      <c r="S29" s="68"/>
      <c r="T29" s="68"/>
      <c r="U29" s="68"/>
      <c r="V29" s="17"/>
      <c r="W29" s="17"/>
      <c r="X29" s="17">
        <f>15+1</f>
        <v>16</v>
      </c>
      <c r="Y29" s="17">
        <v>13</v>
      </c>
      <c r="Z29" s="17">
        <v>6</v>
      </c>
      <c r="AA29" s="17">
        <v>6</v>
      </c>
      <c r="AB29" s="68"/>
      <c r="AC29" s="68"/>
      <c r="AD29" s="5"/>
      <c r="AE29" s="41"/>
      <c r="AF29" s="18"/>
      <c r="AG29" s="18"/>
      <c r="AH29" s="18"/>
      <c r="AI29" s="18"/>
      <c r="AJ29" s="109"/>
      <c r="AK29" s="123">
        <f>SUM(I29:AJ29)</f>
        <v>41</v>
      </c>
      <c r="AL29" s="376"/>
      <c r="AM29" s="111" t="s">
        <v>342</v>
      </c>
      <c r="AN29" s="72"/>
      <c r="AO29" s="72"/>
      <c r="AP29" s="72"/>
      <c r="AQ29" s="72"/>
      <c r="AR29" s="72"/>
    </row>
    <row r="30" spans="1:45" ht="12.75">
      <c r="A30" s="414">
        <v>30</v>
      </c>
      <c r="B30" s="98" t="s">
        <v>69</v>
      </c>
      <c r="C30" s="84" t="s">
        <v>101</v>
      </c>
      <c r="D30" s="159" t="s">
        <v>93</v>
      </c>
      <c r="E30" s="79"/>
      <c r="F30" s="270"/>
      <c r="G30" s="80"/>
      <c r="H30" s="81">
        <f aca="true" t="shared" si="3" ref="H30:AJ30">SUM(H5:H29)</f>
        <v>0</v>
      </c>
      <c r="I30" s="81">
        <f t="shared" si="3"/>
        <v>0</v>
      </c>
      <c r="J30" s="82">
        <f t="shared" si="3"/>
        <v>0</v>
      </c>
      <c r="K30" s="82">
        <f t="shared" si="3"/>
        <v>1</v>
      </c>
      <c r="L30" s="82">
        <f t="shared" si="3"/>
        <v>4</v>
      </c>
      <c r="M30" s="82">
        <f t="shared" si="3"/>
        <v>0</v>
      </c>
      <c r="N30" s="82">
        <f t="shared" si="3"/>
        <v>11</v>
      </c>
      <c r="O30" s="82">
        <f t="shared" si="3"/>
        <v>11</v>
      </c>
      <c r="P30" s="82">
        <f t="shared" si="3"/>
        <v>8</v>
      </c>
      <c r="Q30" s="82">
        <f t="shared" si="3"/>
        <v>56</v>
      </c>
      <c r="R30" s="82">
        <f t="shared" si="3"/>
        <v>157</v>
      </c>
      <c r="S30" s="82">
        <f t="shared" si="3"/>
        <v>160</v>
      </c>
      <c r="T30" s="82">
        <f t="shared" si="3"/>
        <v>0</v>
      </c>
      <c r="U30" s="82">
        <f t="shared" si="3"/>
        <v>35</v>
      </c>
      <c r="V30" s="82">
        <f t="shared" si="3"/>
        <v>10209</v>
      </c>
      <c r="W30" s="82">
        <f t="shared" si="3"/>
        <v>17103</v>
      </c>
      <c r="X30" s="82">
        <f t="shared" si="3"/>
        <v>18970</v>
      </c>
      <c r="Y30" s="82">
        <f t="shared" si="3"/>
        <v>3678</v>
      </c>
      <c r="Z30" s="82">
        <f t="shared" si="3"/>
        <v>18252</v>
      </c>
      <c r="AA30" s="82">
        <f t="shared" si="3"/>
        <v>26996</v>
      </c>
      <c r="AB30" s="82">
        <f t="shared" si="3"/>
        <v>19647</v>
      </c>
      <c r="AC30" s="82">
        <f t="shared" si="3"/>
        <v>5530</v>
      </c>
      <c r="AD30" s="82">
        <f t="shared" si="3"/>
        <v>4289</v>
      </c>
      <c r="AE30" s="82">
        <f t="shared" si="3"/>
        <v>1220</v>
      </c>
      <c r="AF30" s="82">
        <f t="shared" si="3"/>
        <v>4973</v>
      </c>
      <c r="AG30" s="82">
        <f t="shared" si="3"/>
        <v>6070</v>
      </c>
      <c r="AH30" s="82">
        <f t="shared" si="3"/>
        <v>7318</v>
      </c>
      <c r="AI30" s="82">
        <f t="shared" si="3"/>
        <v>4851</v>
      </c>
      <c r="AJ30" s="104">
        <f t="shared" si="3"/>
        <v>33</v>
      </c>
      <c r="AK30" s="126">
        <f aca="true" t="shared" si="4" ref="AK30:AK100">SUM(I30:AJ30)</f>
        <v>149582</v>
      </c>
      <c r="AL30" s="127"/>
      <c r="AM30" s="112"/>
      <c r="AN30" s="183"/>
      <c r="AO30" s="183"/>
      <c r="AP30" s="183"/>
      <c r="AQ30" s="183"/>
      <c r="AR30" s="183"/>
      <c r="AS30" s="71"/>
    </row>
    <row r="31" spans="1:44" ht="12.75">
      <c r="A31" s="197">
        <v>31</v>
      </c>
      <c r="B31" s="86" t="s">
        <v>69</v>
      </c>
      <c r="C31" s="84" t="s">
        <v>78</v>
      </c>
      <c r="D31" s="159" t="s">
        <v>93</v>
      </c>
      <c r="E31" s="84"/>
      <c r="F31" s="271"/>
      <c r="G31" s="85"/>
      <c r="H31" s="227">
        <v>2</v>
      </c>
      <c r="I31" s="93">
        <v>0</v>
      </c>
      <c r="J31" s="87">
        <v>0</v>
      </c>
      <c r="K31" s="87">
        <v>3</v>
      </c>
      <c r="L31" s="87">
        <v>2</v>
      </c>
      <c r="M31" s="87">
        <v>7</v>
      </c>
      <c r="N31" s="87">
        <v>0</v>
      </c>
      <c r="O31" s="87">
        <v>15</v>
      </c>
      <c r="P31" s="87">
        <v>12</v>
      </c>
      <c r="Q31" s="87">
        <v>50</v>
      </c>
      <c r="R31" s="87">
        <v>156</v>
      </c>
      <c r="S31" s="87">
        <v>160</v>
      </c>
      <c r="T31" s="87">
        <v>0</v>
      </c>
      <c r="U31" s="87">
        <v>34</v>
      </c>
      <c r="V31" s="87">
        <v>10259</v>
      </c>
      <c r="W31" s="87">
        <v>17110</v>
      </c>
      <c r="X31" s="87">
        <v>18969</v>
      </c>
      <c r="Y31" s="87">
        <v>3679</v>
      </c>
      <c r="Z31" s="87">
        <v>18250</v>
      </c>
      <c r="AA31" s="87">
        <v>26986</v>
      </c>
      <c r="AB31" s="27">
        <v>19647</v>
      </c>
      <c r="AC31" s="87">
        <v>5511</v>
      </c>
      <c r="AD31" s="199">
        <f>AD30</f>
        <v>4289</v>
      </c>
      <c r="AE31" s="287">
        <f>5472-AD31</f>
        <v>1183</v>
      </c>
      <c r="AF31" s="87">
        <v>2567</v>
      </c>
      <c r="AG31" s="87">
        <v>2546</v>
      </c>
      <c r="AH31" s="87">
        <v>9382</v>
      </c>
      <c r="AI31" s="87">
        <v>4995</v>
      </c>
      <c r="AJ31" s="105">
        <v>6289</v>
      </c>
      <c r="AK31" s="128">
        <f t="shared" si="4"/>
        <v>152101</v>
      </c>
      <c r="AL31" s="129"/>
      <c r="AM31" s="208" t="s">
        <v>114</v>
      </c>
      <c r="AN31" s="183"/>
      <c r="AO31" s="183"/>
      <c r="AP31" s="183"/>
      <c r="AQ31" s="183"/>
      <c r="AR31" s="183"/>
    </row>
    <row r="32" spans="1:44" ht="12.75">
      <c r="A32" s="414">
        <v>32</v>
      </c>
      <c r="B32" s="86" t="s">
        <v>69</v>
      </c>
      <c r="C32" s="84" t="s">
        <v>78</v>
      </c>
      <c r="D32" s="159" t="s">
        <v>93</v>
      </c>
      <c r="E32" s="84"/>
      <c r="F32" s="271"/>
      <c r="G32" s="85"/>
      <c r="H32" s="227"/>
      <c r="I32" s="93"/>
      <c r="J32" s="87"/>
      <c r="K32" s="87"/>
      <c r="L32" s="87"/>
      <c r="M32" s="87"/>
      <c r="N32" s="87"/>
      <c r="O32" s="87"/>
      <c r="P32" s="87"/>
      <c r="Q32" s="87">
        <v>142</v>
      </c>
      <c r="R32" s="87">
        <v>224</v>
      </c>
      <c r="S32" s="516" t="s">
        <v>470</v>
      </c>
      <c r="T32" s="87"/>
      <c r="U32" s="87">
        <v>34</v>
      </c>
      <c r="V32" s="87">
        <v>10259</v>
      </c>
      <c r="W32" s="87">
        <v>17110</v>
      </c>
      <c r="X32" s="87">
        <v>18954</v>
      </c>
      <c r="Y32" s="87">
        <v>3655</v>
      </c>
      <c r="Z32" s="87">
        <v>18200</v>
      </c>
      <c r="AA32" s="162">
        <v>27000</v>
      </c>
      <c r="AB32" s="517"/>
      <c r="AC32" s="162">
        <v>21000</v>
      </c>
      <c r="AD32" s="162">
        <v>9000</v>
      </c>
      <c r="AE32" s="87"/>
      <c r="AF32" s="87"/>
      <c r="AG32" s="87"/>
      <c r="AH32" s="87"/>
      <c r="AI32" s="162">
        <v>2600</v>
      </c>
      <c r="AJ32" s="518">
        <v>3300</v>
      </c>
      <c r="AK32" s="128">
        <f t="shared" si="4"/>
        <v>131478</v>
      </c>
      <c r="AL32" s="129"/>
      <c r="AM32" s="519" t="s">
        <v>476</v>
      </c>
      <c r="AN32" s="183"/>
      <c r="AO32" s="183"/>
      <c r="AP32" s="183"/>
      <c r="AQ32" s="286"/>
      <c r="AR32" s="286"/>
    </row>
    <row r="33" spans="1:44" ht="12.75">
      <c r="A33" s="197">
        <v>33</v>
      </c>
      <c r="B33" s="302" t="s">
        <v>63</v>
      </c>
      <c r="C33" s="84"/>
      <c r="D33" s="84"/>
      <c r="E33" s="84"/>
      <c r="F33" s="271"/>
      <c r="G33" s="85"/>
      <c r="H33" s="303">
        <f aca="true" t="shared" si="5" ref="H33:AI33">H31-H30</f>
        <v>2</v>
      </c>
      <c r="I33" s="304">
        <f t="shared" si="5"/>
        <v>0</v>
      </c>
      <c r="J33" s="304">
        <f t="shared" si="5"/>
        <v>0</v>
      </c>
      <c r="K33" s="304">
        <f t="shared" si="5"/>
        <v>2</v>
      </c>
      <c r="L33" s="304">
        <f t="shared" si="5"/>
        <v>-2</v>
      </c>
      <c r="M33" s="304">
        <f t="shared" si="5"/>
        <v>7</v>
      </c>
      <c r="N33" s="304">
        <f t="shared" si="5"/>
        <v>-11</v>
      </c>
      <c r="O33" s="304">
        <f t="shared" si="5"/>
        <v>4</v>
      </c>
      <c r="P33" s="304">
        <f t="shared" si="5"/>
        <v>4</v>
      </c>
      <c r="Q33" s="304">
        <f t="shared" si="5"/>
        <v>-6</v>
      </c>
      <c r="R33" s="304">
        <f t="shared" si="5"/>
        <v>-1</v>
      </c>
      <c r="S33" s="304">
        <f t="shared" si="5"/>
        <v>0</v>
      </c>
      <c r="T33" s="304">
        <f t="shared" si="5"/>
        <v>0</v>
      </c>
      <c r="U33" s="304">
        <f t="shared" si="5"/>
        <v>-1</v>
      </c>
      <c r="V33" s="304">
        <f t="shared" si="5"/>
        <v>50</v>
      </c>
      <c r="W33" s="304">
        <f t="shared" si="5"/>
        <v>7</v>
      </c>
      <c r="X33" s="304">
        <f t="shared" si="5"/>
        <v>-1</v>
      </c>
      <c r="Y33" s="304">
        <f t="shared" si="5"/>
        <v>1</v>
      </c>
      <c r="Z33" s="304">
        <f t="shared" si="5"/>
        <v>-2</v>
      </c>
      <c r="AA33" s="304">
        <f t="shared" si="5"/>
        <v>-10</v>
      </c>
      <c r="AB33" s="304">
        <f t="shared" si="5"/>
        <v>0</v>
      </c>
      <c r="AC33" s="304">
        <f t="shared" si="5"/>
        <v>-19</v>
      </c>
      <c r="AD33" s="304">
        <f t="shared" si="5"/>
        <v>0</v>
      </c>
      <c r="AE33" s="304">
        <f t="shared" si="5"/>
        <v>-37</v>
      </c>
      <c r="AF33" s="304">
        <f t="shared" si="5"/>
        <v>-2406</v>
      </c>
      <c r="AG33" s="304">
        <f t="shared" si="5"/>
        <v>-3524</v>
      </c>
      <c r="AH33" s="304">
        <f t="shared" si="5"/>
        <v>2064</v>
      </c>
      <c r="AI33" s="304">
        <f t="shared" si="5"/>
        <v>144</v>
      </c>
      <c r="AJ33" s="305"/>
      <c r="AK33" s="128">
        <f t="shared" si="4"/>
        <v>-3737</v>
      </c>
      <c r="AL33" s="129"/>
      <c r="AM33" s="181"/>
      <c r="AN33" s="286"/>
      <c r="AO33" s="286"/>
      <c r="AP33" s="286"/>
      <c r="AQ33" s="286"/>
      <c r="AR33" s="286"/>
    </row>
    <row r="34" spans="1:44" ht="13.5" thickBot="1">
      <c r="A34" s="414">
        <v>34</v>
      </c>
      <c r="B34" s="200" t="s">
        <v>107</v>
      </c>
      <c r="C34" s="201"/>
      <c r="D34" s="201"/>
      <c r="E34" s="201"/>
      <c r="F34" s="192"/>
      <c r="G34" s="202"/>
      <c r="H34" s="361">
        <f>100/(H31+H100)*H31</f>
        <v>100</v>
      </c>
      <c r="I34" s="297"/>
      <c r="J34" s="297"/>
      <c r="K34" s="297">
        <f aca="true" t="shared" si="6" ref="K34:AJ34">100/(K31+K100)*K31</f>
        <v>100</v>
      </c>
      <c r="L34" s="297">
        <f t="shared" si="6"/>
        <v>100</v>
      </c>
      <c r="M34" s="297">
        <f t="shared" si="6"/>
        <v>41.1764705882353</v>
      </c>
      <c r="N34" s="297">
        <f t="shared" si="6"/>
        <v>0</v>
      </c>
      <c r="O34" s="297">
        <f t="shared" si="6"/>
        <v>3.937007874015748</v>
      </c>
      <c r="P34" s="297">
        <f t="shared" si="6"/>
        <v>2.4640657084188913</v>
      </c>
      <c r="Q34" s="297">
        <f t="shared" si="6"/>
        <v>5.945303210463734</v>
      </c>
      <c r="R34" s="297">
        <f t="shared" si="6"/>
        <v>9.11214953271028</v>
      </c>
      <c r="S34" s="297">
        <f t="shared" si="6"/>
        <v>3.7860861334595364</v>
      </c>
      <c r="T34" s="297">
        <f t="shared" si="6"/>
        <v>0</v>
      </c>
      <c r="U34" s="297">
        <f t="shared" si="6"/>
        <v>0.14238452196490642</v>
      </c>
      <c r="V34" s="297">
        <f t="shared" si="6"/>
        <v>20.637698652182657</v>
      </c>
      <c r="W34" s="297">
        <f t="shared" si="6"/>
        <v>23.62052542209092</v>
      </c>
      <c r="X34" s="297">
        <f t="shared" si="6"/>
        <v>19.613094007196327</v>
      </c>
      <c r="Y34" s="297">
        <f t="shared" si="6"/>
        <v>2.6971745282327237</v>
      </c>
      <c r="Z34" s="297">
        <f t="shared" si="6"/>
        <v>9.131529043265935</v>
      </c>
      <c r="AA34" s="297">
        <f t="shared" si="6"/>
        <v>12.782667184554317</v>
      </c>
      <c r="AB34" s="297">
        <f t="shared" si="6"/>
        <v>9.741331865712713</v>
      </c>
      <c r="AC34" s="297">
        <f t="shared" si="6"/>
        <v>3.7904945319485526</v>
      </c>
      <c r="AD34" s="297">
        <f t="shared" si="6"/>
        <v>4.819696816460461</v>
      </c>
      <c r="AE34" s="297">
        <f t="shared" si="6"/>
        <v>3.3620371159803337</v>
      </c>
      <c r="AF34" s="297">
        <f t="shared" si="6"/>
        <v>7.330934429974868</v>
      </c>
      <c r="AG34" s="297">
        <f t="shared" si="6"/>
        <v>5.167864247148135</v>
      </c>
      <c r="AH34" s="297">
        <f t="shared" si="6"/>
        <v>14.534694573114999</v>
      </c>
      <c r="AI34" s="297">
        <f t="shared" si="6"/>
        <v>6.690598336391766</v>
      </c>
      <c r="AJ34" s="362">
        <f t="shared" si="6"/>
        <v>6.15536698280334</v>
      </c>
      <c r="AK34" s="147"/>
      <c r="AL34" s="148"/>
      <c r="AM34" s="203"/>
      <c r="AN34" s="150"/>
      <c r="AO34" s="150"/>
      <c r="AP34" s="150"/>
      <c r="AQ34" s="150"/>
      <c r="AR34" s="150"/>
    </row>
    <row r="35" spans="1:44" ht="13.5" thickBot="1">
      <c r="A35" s="197">
        <v>35</v>
      </c>
      <c r="B35" s="134" t="s">
        <v>8</v>
      </c>
      <c r="C35" s="184" t="s">
        <v>124</v>
      </c>
      <c r="D35" s="353" t="s">
        <v>7</v>
      </c>
      <c r="E35" s="353" t="s">
        <v>6</v>
      </c>
      <c r="F35" s="272" t="s">
        <v>5</v>
      </c>
      <c r="G35" s="136" t="s">
        <v>4</v>
      </c>
      <c r="H35" s="185">
        <v>19</v>
      </c>
      <c r="I35" s="185">
        <v>20</v>
      </c>
      <c r="J35" s="185">
        <v>21</v>
      </c>
      <c r="K35" s="185">
        <v>22</v>
      </c>
      <c r="L35" s="185">
        <v>23</v>
      </c>
      <c r="M35" s="185">
        <v>24</v>
      </c>
      <c r="N35" s="134">
        <v>1925</v>
      </c>
      <c r="O35" s="134">
        <v>1926</v>
      </c>
      <c r="P35" s="184">
        <v>1927</v>
      </c>
      <c r="Q35" s="184">
        <v>1928</v>
      </c>
      <c r="R35" s="184">
        <v>1929</v>
      </c>
      <c r="S35" s="184">
        <v>1930</v>
      </c>
      <c r="T35" s="184">
        <v>1931</v>
      </c>
      <c r="U35" s="184">
        <v>1932</v>
      </c>
      <c r="V35" s="184">
        <v>1933</v>
      </c>
      <c r="W35" s="184">
        <v>1934</v>
      </c>
      <c r="X35" s="184">
        <v>1935</v>
      </c>
      <c r="Y35" s="184">
        <v>1936</v>
      </c>
      <c r="Z35" s="184">
        <v>1937</v>
      </c>
      <c r="AA35" s="184">
        <v>1938</v>
      </c>
      <c r="AB35" s="184">
        <v>1939</v>
      </c>
      <c r="AC35" s="184">
        <v>1940</v>
      </c>
      <c r="AD35" s="184" t="s">
        <v>44</v>
      </c>
      <c r="AE35" s="184" t="s">
        <v>43</v>
      </c>
      <c r="AF35" s="184">
        <v>1942</v>
      </c>
      <c r="AG35" s="184">
        <v>1943</v>
      </c>
      <c r="AH35" s="184">
        <v>1944</v>
      </c>
      <c r="AI35" s="184">
        <v>1945</v>
      </c>
      <c r="AJ35" s="187">
        <v>1946</v>
      </c>
      <c r="AK35" s="279" t="s">
        <v>1</v>
      </c>
      <c r="AL35" s="280" t="s">
        <v>75</v>
      </c>
      <c r="AM35" s="138" t="s">
        <v>76</v>
      </c>
      <c r="AN35" s="139"/>
      <c r="AO35" s="139"/>
      <c r="AP35" s="139"/>
      <c r="AQ35" s="139"/>
      <c r="AR35" s="139"/>
    </row>
    <row r="36" spans="1:44" ht="12.75">
      <c r="A36" s="414">
        <v>36</v>
      </c>
      <c r="B36" s="42" t="s">
        <v>9</v>
      </c>
      <c r="C36" s="21"/>
      <c r="D36" s="21"/>
      <c r="E36" s="21"/>
      <c r="F36" s="8"/>
      <c r="G36" s="7"/>
      <c r="H36" s="56"/>
      <c r="I36" s="221"/>
      <c r="J36" s="222"/>
      <c r="K36" s="2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33"/>
      <c r="AL36" s="124"/>
      <c r="AM36" s="110"/>
      <c r="AN36" s="72"/>
      <c r="AO36" s="72"/>
      <c r="AP36" s="72"/>
      <c r="AQ36" s="72"/>
      <c r="AR36" s="72"/>
    </row>
    <row r="37" spans="1:49" ht="12.75">
      <c r="A37" s="197">
        <v>37</v>
      </c>
      <c r="B37" s="307" t="s">
        <v>442</v>
      </c>
      <c r="C37" s="21" t="s">
        <v>129</v>
      </c>
      <c r="D37" s="49">
        <v>1.5</v>
      </c>
      <c r="E37" s="8">
        <v>4</v>
      </c>
      <c r="F37" s="16">
        <v>3287</v>
      </c>
      <c r="G37" s="7">
        <v>40</v>
      </c>
      <c r="H37" s="472"/>
      <c r="I37" s="472"/>
      <c r="J37" s="473"/>
      <c r="K37" s="473"/>
      <c r="L37" s="473"/>
      <c r="M37" s="473"/>
      <c r="N37" s="473"/>
      <c r="O37" s="473"/>
      <c r="P37" s="473"/>
      <c r="Q37" s="473"/>
      <c r="R37" s="474">
        <f>97</f>
        <v>97</v>
      </c>
      <c r="S37" s="474">
        <f>319+3432</f>
        <v>3751</v>
      </c>
      <c r="T37" s="474">
        <f>10284+2127+997</f>
        <v>13408</v>
      </c>
      <c r="U37" s="474">
        <f>1093+122</f>
        <v>1215</v>
      </c>
      <c r="V37" s="473"/>
      <c r="W37" s="473"/>
      <c r="X37" s="473"/>
      <c r="Y37" s="473"/>
      <c r="Z37" s="473"/>
      <c r="AA37" s="473"/>
      <c r="AB37" s="473"/>
      <c r="AC37" s="473"/>
      <c r="AD37" s="31"/>
      <c r="AE37" s="31"/>
      <c r="AF37" s="31"/>
      <c r="AG37" s="31"/>
      <c r="AH37" s="31"/>
      <c r="AI37" s="31"/>
      <c r="AJ37" s="356"/>
      <c r="AK37" s="123">
        <f>SUM(I37:AJ37)</f>
        <v>18471</v>
      </c>
      <c r="AL37" s="124"/>
      <c r="AM37" s="110" t="s">
        <v>280</v>
      </c>
      <c r="AN37" s="72"/>
      <c r="AO37" s="72"/>
      <c r="AP37" s="72"/>
      <c r="AQ37" s="72"/>
      <c r="AR37" s="72"/>
      <c r="AS37" s="331"/>
      <c r="AT37" s="331"/>
      <c r="AU37" s="331"/>
      <c r="AV37" s="331"/>
      <c r="AW37" s="331"/>
    </row>
    <row r="38" spans="1:44" ht="12.75">
      <c r="A38" s="414">
        <v>38</v>
      </c>
      <c r="B38" s="307" t="s">
        <v>62</v>
      </c>
      <c r="C38" s="21" t="s">
        <v>125</v>
      </c>
      <c r="D38" s="49">
        <v>1.5</v>
      </c>
      <c r="E38" s="8">
        <v>4</v>
      </c>
      <c r="F38" s="16">
        <v>3287</v>
      </c>
      <c r="G38" s="7">
        <v>42</v>
      </c>
      <c r="H38" s="475"/>
      <c r="I38" s="472"/>
      <c r="J38" s="473"/>
      <c r="K38" s="473"/>
      <c r="L38" s="476"/>
      <c r="M38" s="476"/>
      <c r="N38" s="476"/>
      <c r="O38" s="476"/>
      <c r="P38" s="476"/>
      <c r="Q38" s="476"/>
      <c r="R38" s="476"/>
      <c r="S38" s="476"/>
      <c r="T38" s="477"/>
      <c r="U38" s="477">
        <f>3612+3865</f>
        <v>7477</v>
      </c>
      <c r="V38" s="477">
        <v>13691</v>
      </c>
      <c r="W38" s="477">
        <f>14438+200</f>
        <v>14638</v>
      </c>
      <c r="X38" s="477">
        <f>18835+467</f>
        <v>19302</v>
      </c>
      <c r="Y38" s="477">
        <f>41454+987</f>
        <v>42441</v>
      </c>
      <c r="Z38" s="477">
        <f>64598+1509</f>
        <v>66107</v>
      </c>
      <c r="AA38" s="477">
        <f>28791+877</f>
        <v>29668</v>
      </c>
      <c r="AB38" s="477">
        <f>33945+416</f>
        <v>34361</v>
      </c>
      <c r="AC38" s="477"/>
      <c r="AD38" s="333"/>
      <c r="AE38" s="333"/>
      <c r="AF38" s="333"/>
      <c r="AG38" s="333"/>
      <c r="AH38" s="333"/>
      <c r="AI38" s="333"/>
      <c r="AJ38" s="386"/>
      <c r="AK38" s="123">
        <f>SUM(I38:AJ38)</f>
        <v>227685</v>
      </c>
      <c r="AL38" s="124" t="s">
        <v>230</v>
      </c>
      <c r="AM38" s="110" t="s">
        <v>128</v>
      </c>
      <c r="AN38" s="72"/>
      <c r="AO38" s="72"/>
      <c r="AP38" s="72"/>
      <c r="AQ38" s="72"/>
      <c r="AR38" s="72"/>
    </row>
    <row r="39" spans="1:44" ht="12.75">
      <c r="A39" s="197">
        <v>39</v>
      </c>
      <c r="B39" s="307" t="s">
        <v>278</v>
      </c>
      <c r="C39" s="21" t="s">
        <v>129</v>
      </c>
      <c r="D39" s="49">
        <v>1.5</v>
      </c>
      <c r="E39" s="8">
        <v>4</v>
      </c>
      <c r="F39" s="16">
        <v>3287</v>
      </c>
      <c r="G39" s="7">
        <v>42</v>
      </c>
      <c r="H39" s="475"/>
      <c r="I39" s="472"/>
      <c r="J39" s="473"/>
      <c r="K39" s="473"/>
      <c r="L39" s="476"/>
      <c r="M39" s="476"/>
      <c r="N39" s="476"/>
      <c r="O39" s="476"/>
      <c r="P39" s="476"/>
      <c r="Q39" s="476"/>
      <c r="R39" s="476"/>
      <c r="S39" s="476"/>
      <c r="T39" s="477"/>
      <c r="U39" s="477"/>
      <c r="V39" s="477">
        <f>2557+0</f>
        <v>2557</v>
      </c>
      <c r="W39" s="477">
        <f>15369+1663</f>
        <v>17032</v>
      </c>
      <c r="X39" s="477">
        <f>23007+1635</f>
        <v>24642</v>
      </c>
      <c r="Y39" s="477">
        <f>34422+2906</f>
        <v>37328</v>
      </c>
      <c r="Z39" s="477">
        <f>41875+4284</f>
        <v>46159</v>
      </c>
      <c r="AA39" s="477">
        <f>49434+4236</f>
        <v>53670</v>
      </c>
      <c r="AB39" s="477">
        <f>16092+1711</f>
        <v>17803</v>
      </c>
      <c r="AC39" s="477"/>
      <c r="AD39" s="333"/>
      <c r="AE39" s="333"/>
      <c r="AF39" s="333"/>
      <c r="AG39" s="333"/>
      <c r="AH39" s="333"/>
      <c r="AI39" s="333"/>
      <c r="AJ39" s="386"/>
      <c r="AK39" s="123">
        <f>SUM(I39:AJ39)</f>
        <v>199191</v>
      </c>
      <c r="AL39" s="404">
        <f>AK39+AK38</f>
        <v>426876</v>
      </c>
      <c r="AM39" s="110" t="s">
        <v>277</v>
      </c>
      <c r="AN39" s="72"/>
      <c r="AO39" s="72"/>
      <c r="AP39" s="72"/>
      <c r="AQ39" s="72"/>
      <c r="AR39" s="72"/>
    </row>
    <row r="40" spans="1:44" ht="12.75">
      <c r="A40" s="414">
        <v>40</v>
      </c>
      <c r="B40" s="307" t="s">
        <v>62</v>
      </c>
      <c r="C40" s="21" t="s">
        <v>279</v>
      </c>
      <c r="D40" s="49">
        <v>1.5</v>
      </c>
      <c r="E40" s="8">
        <v>4</v>
      </c>
      <c r="F40" s="16">
        <v>3287</v>
      </c>
      <c r="G40" s="7">
        <v>42</v>
      </c>
      <c r="H40" s="475"/>
      <c r="I40" s="472"/>
      <c r="J40" s="473"/>
      <c r="K40" s="473"/>
      <c r="L40" s="476"/>
      <c r="M40" s="476"/>
      <c r="N40" s="476"/>
      <c r="O40" s="476"/>
      <c r="P40" s="476"/>
      <c r="Q40" s="476"/>
      <c r="R40" s="476"/>
      <c r="S40" s="476"/>
      <c r="T40" s="477"/>
      <c r="U40" s="477"/>
      <c r="V40" s="477"/>
      <c r="W40" s="477"/>
      <c r="X40" s="477"/>
      <c r="Y40" s="477"/>
      <c r="Z40" s="477"/>
      <c r="AA40" s="477"/>
      <c r="AB40" s="477">
        <f>14466+443</f>
        <v>14909</v>
      </c>
      <c r="AC40" s="477">
        <f>20046+204</f>
        <v>20250</v>
      </c>
      <c r="AD40" s="333"/>
      <c r="AE40" s="333"/>
      <c r="AF40" s="333"/>
      <c r="AG40" s="333"/>
      <c r="AH40" s="333"/>
      <c r="AI40" s="333"/>
      <c r="AJ40" s="386"/>
      <c r="AK40" s="123">
        <f>SUM(I40:AJ40)</f>
        <v>35159</v>
      </c>
      <c r="AL40" s="124"/>
      <c r="AM40" s="110" t="s">
        <v>277</v>
      </c>
      <c r="AN40" s="72"/>
      <c r="AO40" s="72"/>
      <c r="AP40" s="72"/>
      <c r="AQ40" s="72"/>
      <c r="AR40" s="72"/>
    </row>
    <row r="41" spans="1:44" ht="12.75">
      <c r="A41" s="197">
        <v>41</v>
      </c>
      <c r="B41" s="307" t="s">
        <v>287</v>
      </c>
      <c r="C41" s="15" t="s">
        <v>125</v>
      </c>
      <c r="D41" s="405" t="s">
        <v>288</v>
      </c>
      <c r="E41" s="55">
        <v>4</v>
      </c>
      <c r="F41" s="55">
        <v>3287</v>
      </c>
      <c r="G41" s="35">
        <v>42</v>
      </c>
      <c r="H41" s="382"/>
      <c r="I41" s="382"/>
      <c r="J41" s="383"/>
      <c r="K41" s="383"/>
      <c r="L41" s="383"/>
      <c r="M41" s="383"/>
      <c r="N41" s="383"/>
      <c r="O41" s="383"/>
      <c r="P41" s="383"/>
      <c r="Q41" s="478"/>
      <c r="R41" s="478"/>
      <c r="S41" s="478"/>
      <c r="T41" s="478"/>
      <c r="U41" s="478"/>
      <c r="V41" s="479"/>
      <c r="W41" s="479">
        <v>3</v>
      </c>
      <c r="X41" s="479">
        <v>30</v>
      </c>
      <c r="Y41" s="479">
        <v>549</v>
      </c>
      <c r="Z41" s="480"/>
      <c r="AA41" s="481"/>
      <c r="AB41" s="478"/>
      <c r="AC41" s="478"/>
      <c r="AD41" s="18"/>
      <c r="AE41" s="18"/>
      <c r="AF41" s="18"/>
      <c r="AG41" s="18"/>
      <c r="AH41" s="18"/>
      <c r="AI41" s="18"/>
      <c r="AJ41" s="109"/>
      <c r="AK41" s="123">
        <f t="shared" si="4"/>
        <v>582</v>
      </c>
      <c r="AL41" s="376"/>
      <c r="AM41" s="111"/>
      <c r="AN41" s="72"/>
      <c r="AO41" s="72"/>
      <c r="AP41" s="72"/>
      <c r="AQ41" s="72"/>
      <c r="AR41" s="72"/>
    </row>
    <row r="42" spans="1:49" ht="12.75">
      <c r="A42" s="414">
        <v>42</v>
      </c>
      <c r="B42" s="307" t="s">
        <v>61</v>
      </c>
      <c r="C42" s="21" t="s">
        <v>125</v>
      </c>
      <c r="D42" s="49">
        <v>1.5</v>
      </c>
      <c r="E42" s="8">
        <v>4</v>
      </c>
      <c r="F42" s="16">
        <v>3287</v>
      </c>
      <c r="G42" s="7">
        <v>50</v>
      </c>
      <c r="H42" s="472"/>
      <c r="I42" s="472"/>
      <c r="J42" s="473"/>
      <c r="K42" s="473"/>
      <c r="L42" s="476"/>
      <c r="M42" s="476"/>
      <c r="N42" s="476"/>
      <c r="O42" s="476"/>
      <c r="P42" s="476"/>
      <c r="Q42" s="476"/>
      <c r="R42" s="476"/>
      <c r="S42" s="476"/>
      <c r="T42" s="477"/>
      <c r="U42" s="477"/>
      <c r="V42" s="477"/>
      <c r="W42" s="477"/>
      <c r="X42" s="477"/>
      <c r="Y42" s="477"/>
      <c r="Z42" s="477"/>
      <c r="AA42" s="477">
        <f>22784+472</f>
        <v>23256</v>
      </c>
      <c r="AB42" s="477">
        <f>20720+1234</f>
        <v>21954</v>
      </c>
      <c r="AC42" s="477">
        <f>32720-AC37+2602</f>
        <v>35322</v>
      </c>
      <c r="AD42" s="70">
        <f>38609-AE42+2507</f>
        <v>30116</v>
      </c>
      <c r="AE42" s="69">
        <v>11000</v>
      </c>
      <c r="AF42" s="333">
        <f>20355+385</f>
        <v>20740</v>
      </c>
      <c r="AG42" s="333">
        <f>17488+345</f>
        <v>17833</v>
      </c>
      <c r="AH42" s="333">
        <f>18001+921</f>
        <v>18922</v>
      </c>
      <c r="AI42" s="333">
        <f>22872+113</f>
        <v>22985</v>
      </c>
      <c r="AJ42" s="386">
        <f>37674+2179</f>
        <v>39853</v>
      </c>
      <c r="AK42" s="123">
        <f t="shared" si="4"/>
        <v>241981</v>
      </c>
      <c r="AL42" s="124"/>
      <c r="AM42" s="110" t="s">
        <v>286</v>
      </c>
      <c r="AN42" s="72"/>
      <c r="AO42" s="72"/>
      <c r="AP42" s="72"/>
      <c r="AQ42" s="72"/>
      <c r="AR42" s="72"/>
      <c r="AS42" s="331"/>
      <c r="AT42" s="331"/>
      <c r="AU42" s="331"/>
      <c r="AV42" s="331"/>
      <c r="AW42" s="331"/>
    </row>
    <row r="43" spans="1:49" ht="12.75">
      <c r="A43" s="197">
        <v>43</v>
      </c>
      <c r="B43" s="499" t="s">
        <v>369</v>
      </c>
      <c r="C43" s="21" t="s">
        <v>125</v>
      </c>
      <c r="D43" s="49" t="s">
        <v>288</v>
      </c>
      <c r="E43" s="8">
        <v>4</v>
      </c>
      <c r="F43" s="64">
        <v>3287</v>
      </c>
      <c r="G43" s="7">
        <v>50</v>
      </c>
      <c r="H43" s="472"/>
      <c r="I43" s="472"/>
      <c r="J43" s="473"/>
      <c r="K43" s="473"/>
      <c r="L43" s="476"/>
      <c r="M43" s="476"/>
      <c r="N43" s="476"/>
      <c r="O43" s="476"/>
      <c r="P43" s="476"/>
      <c r="Q43" s="476"/>
      <c r="R43" s="476"/>
      <c r="S43" s="476"/>
      <c r="T43" s="477"/>
      <c r="U43" s="477"/>
      <c r="V43" s="477"/>
      <c r="W43" s="477"/>
      <c r="X43" s="477"/>
      <c r="Y43" s="477"/>
      <c r="Z43" s="477"/>
      <c r="AA43" s="477"/>
      <c r="AB43" s="477">
        <v>73</v>
      </c>
      <c r="AC43" s="477">
        <v>554</v>
      </c>
      <c r="AD43" s="76">
        <f>164-AE43</f>
        <v>164</v>
      </c>
      <c r="AE43" s="75"/>
      <c r="AF43" s="333">
        <v>3</v>
      </c>
      <c r="AG43" s="333">
        <v>18</v>
      </c>
      <c r="AH43" s="333">
        <v>55</v>
      </c>
      <c r="AI43" s="333"/>
      <c r="AJ43" s="386"/>
      <c r="AK43" s="123">
        <f t="shared" si="4"/>
        <v>867</v>
      </c>
      <c r="AL43" s="124"/>
      <c r="AM43" s="110" t="s">
        <v>289</v>
      </c>
      <c r="AN43" s="72"/>
      <c r="AO43" s="72"/>
      <c r="AP43" s="72"/>
      <c r="AQ43" s="72"/>
      <c r="AR43" s="72"/>
      <c r="AS43" s="331"/>
      <c r="AT43" s="331"/>
      <c r="AU43" s="331"/>
      <c r="AV43" s="331"/>
      <c r="AW43" s="331"/>
    </row>
    <row r="44" spans="1:49" ht="12.75">
      <c r="A44" s="414">
        <v>44</v>
      </c>
      <c r="B44" s="306" t="s">
        <v>149</v>
      </c>
      <c r="C44" s="522" t="s">
        <v>125</v>
      </c>
      <c r="D44" s="49">
        <v>1.5</v>
      </c>
      <c r="E44" s="16">
        <v>4</v>
      </c>
      <c r="F44" s="64">
        <v>3287</v>
      </c>
      <c r="G44" s="35">
        <v>46</v>
      </c>
      <c r="H44" s="382"/>
      <c r="I44" s="382"/>
      <c r="J44" s="383"/>
      <c r="K44" s="383"/>
      <c r="L44" s="478"/>
      <c r="M44" s="478"/>
      <c r="N44" s="478"/>
      <c r="O44" s="478"/>
      <c r="P44" s="478"/>
      <c r="Q44" s="478"/>
      <c r="R44" s="478"/>
      <c r="S44" s="478"/>
      <c r="T44" s="479"/>
      <c r="U44" s="479"/>
      <c r="V44" s="479"/>
      <c r="W44" s="479"/>
      <c r="X44" s="479">
        <v>122</v>
      </c>
      <c r="Y44" s="479">
        <f>797+604</f>
        <v>1401</v>
      </c>
      <c r="Z44" s="479">
        <f>4152+429</f>
        <v>4581</v>
      </c>
      <c r="AA44" s="479">
        <f>4963+1029</f>
        <v>5992</v>
      </c>
      <c r="AB44" s="479">
        <f>4512+126</f>
        <v>4638</v>
      </c>
      <c r="AC44" s="479">
        <f>3627+3692</f>
        <v>7319</v>
      </c>
      <c r="AD44" s="58">
        <f>3730+4075-AE44</f>
        <v>5305</v>
      </c>
      <c r="AE44" s="54">
        <v>2500</v>
      </c>
      <c r="AF44" s="17">
        <f>262+817</f>
        <v>1079</v>
      </c>
      <c r="AG44" s="337">
        <f>442+341</f>
        <v>783</v>
      </c>
      <c r="AH44" s="17">
        <f>3+54</f>
        <v>57</v>
      </c>
      <c r="AI44" s="17"/>
      <c r="AJ44" s="387"/>
      <c r="AK44" s="123">
        <f t="shared" si="4"/>
        <v>33777</v>
      </c>
      <c r="AL44" s="376"/>
      <c r="AM44" s="111" t="s">
        <v>209</v>
      </c>
      <c r="AN44" s="72"/>
      <c r="AO44" s="72"/>
      <c r="AP44" s="72"/>
      <c r="AQ44" s="72"/>
      <c r="AR44" s="72"/>
      <c r="AS44" s="331"/>
      <c r="AT44" s="331"/>
      <c r="AU44" s="331"/>
      <c r="AV44" s="331"/>
      <c r="AW44" s="331"/>
    </row>
    <row r="45" spans="1:49" ht="12.75">
      <c r="A45" s="197">
        <v>45</v>
      </c>
      <c r="B45" s="306" t="s">
        <v>370</v>
      </c>
      <c r="C45" s="62" t="s">
        <v>125</v>
      </c>
      <c r="D45" s="49">
        <v>2</v>
      </c>
      <c r="E45" s="8">
        <v>4</v>
      </c>
      <c r="F45" s="64">
        <v>3287</v>
      </c>
      <c r="G45" s="35">
        <v>46</v>
      </c>
      <c r="H45" s="472"/>
      <c r="I45" s="472"/>
      <c r="J45" s="473"/>
      <c r="K45" s="473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3">
        <f>20+6</f>
        <v>26</v>
      </c>
      <c r="Y45" s="473">
        <v>237</v>
      </c>
      <c r="Z45" s="473">
        <v>689</v>
      </c>
      <c r="AA45" s="473">
        <v>974</v>
      </c>
      <c r="AB45" s="473">
        <v>847</v>
      </c>
      <c r="AC45" s="473">
        <v>461</v>
      </c>
      <c r="AD45" s="76">
        <f>2026-AE45</f>
        <v>1226</v>
      </c>
      <c r="AE45" s="75">
        <v>800</v>
      </c>
      <c r="AF45" s="31">
        <v>291</v>
      </c>
      <c r="AG45" s="31">
        <v>393</v>
      </c>
      <c r="AH45" s="31">
        <v>452</v>
      </c>
      <c r="AI45" s="31">
        <v>730</v>
      </c>
      <c r="AJ45" s="356">
        <v>1008</v>
      </c>
      <c r="AK45" s="123">
        <f t="shared" si="4"/>
        <v>8134</v>
      </c>
      <c r="AL45" s="378"/>
      <c r="AM45" s="110" t="s">
        <v>309</v>
      </c>
      <c r="AN45" s="72"/>
      <c r="AO45" s="72"/>
      <c r="AP45" s="72"/>
      <c r="AQ45" s="72"/>
      <c r="AR45" s="72"/>
      <c r="AS45" s="331"/>
      <c r="AT45" s="331"/>
      <c r="AU45" s="331"/>
      <c r="AV45" s="331"/>
      <c r="AW45" s="331"/>
    </row>
    <row r="46" spans="1:44" ht="12.75">
      <c r="A46" s="414">
        <v>46</v>
      </c>
      <c r="B46" s="306" t="s">
        <v>371</v>
      </c>
      <c r="C46" s="15" t="s">
        <v>345</v>
      </c>
      <c r="D46" s="412">
        <v>1.5</v>
      </c>
      <c r="E46" s="16">
        <v>4</v>
      </c>
      <c r="F46" s="64">
        <v>3287</v>
      </c>
      <c r="G46" s="14">
        <v>50</v>
      </c>
      <c r="H46" s="382"/>
      <c r="I46" s="382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478">
        <v>1</v>
      </c>
      <c r="AA46" s="479">
        <v>359</v>
      </c>
      <c r="AB46" s="479">
        <v>852</v>
      </c>
      <c r="AC46" s="479">
        <v>1157</v>
      </c>
      <c r="AD46" s="58">
        <f>1815-AE46</f>
        <v>1315</v>
      </c>
      <c r="AE46" s="54">
        <v>500</v>
      </c>
      <c r="AF46" s="18">
        <v>1048</v>
      </c>
      <c r="AG46" s="18">
        <v>701</v>
      </c>
      <c r="AH46" s="17">
        <v>1332</v>
      </c>
      <c r="AI46" s="17">
        <v>579</v>
      </c>
      <c r="AJ46" s="387">
        <v>30</v>
      </c>
      <c r="AK46" s="123">
        <f>SUM(I46:AJ46)</f>
        <v>7874</v>
      </c>
      <c r="AL46" s="125"/>
      <c r="AM46" s="111" t="s">
        <v>478</v>
      </c>
      <c r="AN46" s="72"/>
      <c r="AO46" s="72"/>
      <c r="AP46" s="72"/>
      <c r="AQ46" s="72"/>
      <c r="AR46" s="72"/>
    </row>
    <row r="47" spans="1:44" ht="12.75">
      <c r="A47" s="197">
        <v>47</v>
      </c>
      <c r="B47" s="306" t="s">
        <v>438</v>
      </c>
      <c r="C47" s="15" t="s">
        <v>125</v>
      </c>
      <c r="D47" s="412">
        <v>1.5</v>
      </c>
      <c r="E47" s="16">
        <v>4</v>
      </c>
      <c r="F47" s="64">
        <v>3287</v>
      </c>
      <c r="G47" s="14">
        <v>50</v>
      </c>
      <c r="H47" s="472"/>
      <c r="I47" s="472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383"/>
      <c r="X47" s="383"/>
      <c r="Y47" s="383"/>
      <c r="Z47" s="383"/>
      <c r="AA47" s="383"/>
      <c r="AB47" s="383"/>
      <c r="AC47" s="383"/>
      <c r="AD47" s="18"/>
      <c r="AE47" s="18"/>
      <c r="AF47" s="31"/>
      <c r="AG47" s="31">
        <v>100</v>
      </c>
      <c r="AH47" s="17">
        <v>111</v>
      </c>
      <c r="AI47" s="17"/>
      <c r="AJ47" s="468"/>
      <c r="AK47" s="123">
        <f t="shared" si="4"/>
        <v>211</v>
      </c>
      <c r="AL47" s="124"/>
      <c r="AM47" s="110" t="s">
        <v>439</v>
      </c>
      <c r="AN47" s="72"/>
      <c r="AO47" s="72"/>
      <c r="AP47" s="72"/>
      <c r="AQ47" s="72"/>
      <c r="AR47" s="72"/>
    </row>
    <row r="48" spans="1:44" ht="12.75">
      <c r="A48" s="414">
        <v>48</v>
      </c>
      <c r="B48" s="306" t="s">
        <v>371</v>
      </c>
      <c r="C48" s="15" t="s">
        <v>440</v>
      </c>
      <c r="D48" s="412">
        <v>1.5</v>
      </c>
      <c r="E48" s="16">
        <v>4</v>
      </c>
      <c r="F48" s="64">
        <v>3287</v>
      </c>
      <c r="G48" s="14">
        <v>50</v>
      </c>
      <c r="H48" s="472"/>
      <c r="I48" s="472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383"/>
      <c r="X48" s="383"/>
      <c r="Y48" s="383"/>
      <c r="Z48" s="383"/>
      <c r="AA48" s="383">
        <v>72</v>
      </c>
      <c r="AB48" s="383">
        <v>441</v>
      </c>
      <c r="AC48" s="383">
        <v>272</v>
      </c>
      <c r="AD48" s="18">
        <v>184</v>
      </c>
      <c r="AE48" s="18"/>
      <c r="AF48" s="31"/>
      <c r="AG48" s="31"/>
      <c r="AH48" s="17"/>
      <c r="AI48" s="17"/>
      <c r="AJ48" s="468"/>
      <c r="AK48" s="123">
        <f t="shared" si="4"/>
        <v>969</v>
      </c>
      <c r="AL48" s="124"/>
      <c r="AM48" s="110" t="s">
        <v>439</v>
      </c>
      <c r="AN48" s="72"/>
      <c r="AO48" s="72"/>
      <c r="AP48" s="72"/>
      <c r="AQ48" s="72"/>
      <c r="AR48" s="72"/>
    </row>
    <row r="49" spans="1:49" ht="12.75">
      <c r="A49" s="197">
        <v>49</v>
      </c>
      <c r="B49" s="306" t="s">
        <v>372</v>
      </c>
      <c r="C49" s="62" t="s">
        <v>125</v>
      </c>
      <c r="D49" s="49" t="s">
        <v>242</v>
      </c>
      <c r="E49" s="8">
        <v>4</v>
      </c>
      <c r="F49" s="64">
        <v>3287</v>
      </c>
      <c r="G49" s="35">
        <v>46</v>
      </c>
      <c r="H49" s="472"/>
      <c r="I49" s="472"/>
      <c r="J49" s="473"/>
      <c r="K49" s="473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3">
        <v>214</v>
      </c>
      <c r="W49" s="383">
        <v>530</v>
      </c>
      <c r="X49" s="479">
        <v>503</v>
      </c>
      <c r="Y49" s="383">
        <v>309</v>
      </c>
      <c r="Z49" s="383">
        <v>458</v>
      </c>
      <c r="AA49" s="383">
        <v>1043</v>
      </c>
      <c r="AB49" s="383">
        <v>1634</v>
      </c>
      <c r="AC49" s="383">
        <v>1351</v>
      </c>
      <c r="AD49" s="52">
        <f>528-AE49</f>
        <v>428</v>
      </c>
      <c r="AE49" s="53">
        <v>100</v>
      </c>
      <c r="AF49" s="31"/>
      <c r="AG49" s="31"/>
      <c r="AH49" s="18">
        <v>383</v>
      </c>
      <c r="AI49" s="18">
        <v>320</v>
      </c>
      <c r="AJ49" s="68"/>
      <c r="AK49" s="123">
        <f t="shared" si="4"/>
        <v>7273</v>
      </c>
      <c r="AL49" s="378"/>
      <c r="AM49" s="110" t="s">
        <v>335</v>
      </c>
      <c r="AN49" s="72"/>
      <c r="AO49" s="72"/>
      <c r="AP49" s="72"/>
      <c r="AQ49" s="72"/>
      <c r="AR49" s="72"/>
      <c r="AS49" s="331"/>
      <c r="AT49" s="331"/>
      <c r="AU49" s="331"/>
      <c r="AV49" s="331"/>
      <c r="AW49" s="331"/>
    </row>
    <row r="50" spans="1:49" ht="12.75">
      <c r="A50" s="414">
        <v>50</v>
      </c>
      <c r="B50" s="306" t="s">
        <v>351</v>
      </c>
      <c r="C50" s="522" t="s">
        <v>125</v>
      </c>
      <c r="D50" s="49" t="s">
        <v>106</v>
      </c>
      <c r="E50" s="335">
        <v>4</v>
      </c>
      <c r="F50" s="64">
        <v>3287</v>
      </c>
      <c r="G50" s="7">
        <v>50</v>
      </c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>
        <v>692</v>
      </c>
      <c r="AB50" s="476"/>
      <c r="AC50" s="476">
        <v>200</v>
      </c>
      <c r="AD50" s="31"/>
      <c r="AE50" s="31"/>
      <c r="AF50" s="31"/>
      <c r="AG50" s="31"/>
      <c r="AH50" s="336"/>
      <c r="AI50" s="336"/>
      <c r="AJ50" s="356"/>
      <c r="AK50" s="123">
        <f t="shared" si="4"/>
        <v>892</v>
      </c>
      <c r="AL50" s="378"/>
      <c r="AM50" s="110" t="s">
        <v>336</v>
      </c>
      <c r="AN50" s="72"/>
      <c r="AO50" s="72"/>
      <c r="AP50" s="72"/>
      <c r="AQ50" s="72"/>
      <c r="AR50" s="72"/>
      <c r="AS50" s="331"/>
      <c r="AT50" s="331"/>
      <c r="AU50" s="331"/>
      <c r="AV50" s="331"/>
      <c r="AW50" s="331"/>
    </row>
    <row r="51" spans="1:49" ht="12.75">
      <c r="A51" s="197">
        <v>51</v>
      </c>
      <c r="B51" s="306" t="s">
        <v>352</v>
      </c>
      <c r="C51" s="62" t="s">
        <v>125</v>
      </c>
      <c r="D51" s="394">
        <v>1.2</v>
      </c>
      <c r="E51" s="503">
        <v>4</v>
      </c>
      <c r="F51" s="64">
        <v>3287</v>
      </c>
      <c r="G51" s="35">
        <v>30</v>
      </c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3">
        <v>25</v>
      </c>
      <c r="Y51" s="473">
        <v>20</v>
      </c>
      <c r="Z51" s="473"/>
      <c r="AA51" s="473"/>
      <c r="AB51" s="473"/>
      <c r="AC51" s="473"/>
      <c r="AD51" s="31"/>
      <c r="AE51" s="31"/>
      <c r="AF51" s="31"/>
      <c r="AG51" s="31"/>
      <c r="AH51" s="31"/>
      <c r="AI51" s="31"/>
      <c r="AJ51" s="356"/>
      <c r="AK51" s="123">
        <f t="shared" si="4"/>
        <v>45</v>
      </c>
      <c r="AL51" s="378"/>
      <c r="AM51" s="110" t="s">
        <v>284</v>
      </c>
      <c r="AN51" s="72"/>
      <c r="AO51" s="72"/>
      <c r="AP51" s="72"/>
      <c r="AQ51" s="72"/>
      <c r="AR51" s="72"/>
      <c r="AS51" s="331"/>
      <c r="AT51" s="331"/>
      <c r="AU51" s="331"/>
      <c r="AV51" s="331"/>
      <c r="AW51" s="331"/>
    </row>
    <row r="52" spans="1:49" ht="12.75">
      <c r="A52" s="414">
        <v>52</v>
      </c>
      <c r="B52" s="306" t="s">
        <v>373</v>
      </c>
      <c r="C52" s="15" t="s">
        <v>125</v>
      </c>
      <c r="D52" s="394">
        <v>1.2</v>
      </c>
      <c r="E52" s="503">
        <v>4</v>
      </c>
      <c r="F52" s="64">
        <v>3287</v>
      </c>
      <c r="G52" s="35">
        <v>30</v>
      </c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3"/>
      <c r="Y52" s="473"/>
      <c r="Z52" s="473">
        <v>496</v>
      </c>
      <c r="AA52" s="473">
        <v>748</v>
      </c>
      <c r="AB52" s="473"/>
      <c r="AC52" s="473"/>
      <c r="AD52" s="31"/>
      <c r="AE52" s="31"/>
      <c r="AF52" s="31"/>
      <c r="AG52" s="31"/>
      <c r="AH52" s="31"/>
      <c r="AI52" s="31"/>
      <c r="AJ52" s="356"/>
      <c r="AK52" s="123">
        <f t="shared" si="4"/>
        <v>1244</v>
      </c>
      <c r="AL52" s="378"/>
      <c r="AM52" s="110" t="s">
        <v>284</v>
      </c>
      <c r="AN52" s="72"/>
      <c r="AO52" s="72"/>
      <c r="AP52" s="72"/>
      <c r="AQ52" s="72"/>
      <c r="AR52" s="72"/>
      <c r="AS52" s="331"/>
      <c r="AT52" s="331"/>
      <c r="AU52" s="331"/>
      <c r="AV52" s="331"/>
      <c r="AW52" s="331"/>
    </row>
    <row r="53" spans="1:49" ht="12.75">
      <c r="A53" s="197">
        <v>53</v>
      </c>
      <c r="B53" s="306" t="s">
        <v>374</v>
      </c>
      <c r="C53" s="15" t="s">
        <v>125</v>
      </c>
      <c r="D53" s="394">
        <v>1.2</v>
      </c>
      <c r="E53" s="503">
        <v>4</v>
      </c>
      <c r="F53" s="64">
        <v>3287</v>
      </c>
      <c r="G53" s="35">
        <v>30</v>
      </c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479">
        <v>7236</v>
      </c>
      <c r="AC53" s="479">
        <v>11659</v>
      </c>
      <c r="AD53" s="52">
        <f>12838-AE53</f>
        <v>10338</v>
      </c>
      <c r="AE53" s="53">
        <v>2500</v>
      </c>
      <c r="AF53" s="17">
        <v>45</v>
      </c>
      <c r="AG53" s="17">
        <v>74</v>
      </c>
      <c r="AH53" s="17"/>
      <c r="AI53" s="17"/>
      <c r="AJ53" s="387">
        <v>104</v>
      </c>
      <c r="AK53" s="123">
        <f t="shared" si="4"/>
        <v>31956</v>
      </c>
      <c r="AL53" s="376"/>
      <c r="AM53" s="111" t="s">
        <v>444</v>
      </c>
      <c r="AN53" s="72"/>
      <c r="AO53" s="72"/>
      <c r="AP53" s="72"/>
      <c r="AQ53" s="72"/>
      <c r="AR53" s="72"/>
      <c r="AS53" s="331"/>
      <c r="AT53" s="331"/>
      <c r="AU53" s="331"/>
      <c r="AV53" s="331"/>
      <c r="AW53" s="331"/>
    </row>
    <row r="54" spans="1:49" ht="12.75">
      <c r="A54" s="414">
        <v>54</v>
      </c>
      <c r="B54" s="306" t="s">
        <v>375</v>
      </c>
      <c r="C54" s="15" t="s">
        <v>125</v>
      </c>
      <c r="D54" s="394">
        <v>1.2</v>
      </c>
      <c r="E54" s="503">
        <v>4</v>
      </c>
      <c r="F54" s="64">
        <v>3287</v>
      </c>
      <c r="G54" s="35">
        <v>30</v>
      </c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3"/>
      <c r="Y54" s="473"/>
      <c r="Z54" s="473"/>
      <c r="AA54" s="473"/>
      <c r="AB54" s="473">
        <v>592</v>
      </c>
      <c r="AC54" s="473"/>
      <c r="AD54" s="31"/>
      <c r="AE54" s="31"/>
      <c r="AF54" s="31"/>
      <c r="AG54" s="31"/>
      <c r="AH54" s="31"/>
      <c r="AI54" s="31"/>
      <c r="AJ54" s="356"/>
      <c r="AK54" s="123">
        <f t="shared" si="4"/>
        <v>592</v>
      </c>
      <c r="AL54" s="378"/>
      <c r="AM54" s="110" t="s">
        <v>284</v>
      </c>
      <c r="AN54" s="72"/>
      <c r="AO54" s="72"/>
      <c r="AP54" s="72"/>
      <c r="AQ54" s="72"/>
      <c r="AR54" s="72"/>
      <c r="AS54" s="331"/>
      <c r="AT54" s="331"/>
      <c r="AU54" s="331"/>
      <c r="AV54" s="331"/>
      <c r="AW54" s="331"/>
    </row>
    <row r="55" spans="1:49" ht="12.75">
      <c r="A55" s="197">
        <v>55</v>
      </c>
      <c r="B55" s="306" t="s">
        <v>443</v>
      </c>
      <c r="C55" s="15" t="s">
        <v>125</v>
      </c>
      <c r="D55" s="394">
        <v>1.2</v>
      </c>
      <c r="E55" s="395">
        <v>4</v>
      </c>
      <c r="F55" s="64">
        <v>3287</v>
      </c>
      <c r="G55" s="35">
        <v>30</v>
      </c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3"/>
      <c r="Y55" s="473"/>
      <c r="Z55" s="473"/>
      <c r="AA55" s="473"/>
      <c r="AB55" s="473">
        <v>18</v>
      </c>
      <c r="AC55" s="473">
        <v>13</v>
      </c>
      <c r="AD55" s="31">
        <v>54</v>
      </c>
      <c r="AE55" s="31"/>
      <c r="AF55" s="31"/>
      <c r="AG55" s="31"/>
      <c r="AH55" s="31"/>
      <c r="AI55" s="31"/>
      <c r="AJ55" s="356"/>
      <c r="AK55" s="123">
        <f t="shared" si="4"/>
        <v>85</v>
      </c>
      <c r="AL55" s="378"/>
      <c r="AM55" s="110" t="s">
        <v>284</v>
      </c>
      <c r="AN55" s="72"/>
      <c r="AO55" s="72"/>
      <c r="AP55" s="72"/>
      <c r="AQ55" s="72"/>
      <c r="AR55" s="72"/>
      <c r="AS55" s="331"/>
      <c r="AT55" s="331"/>
      <c r="AU55" s="331"/>
      <c r="AV55" s="331"/>
      <c r="AW55" s="331"/>
    </row>
    <row r="56" spans="1:49" ht="13.5" thickBot="1">
      <c r="A56" s="414">
        <v>56</v>
      </c>
      <c r="B56" s="496" t="s">
        <v>376</v>
      </c>
      <c r="C56" s="367" t="s">
        <v>125</v>
      </c>
      <c r="D56" s="394">
        <v>1.2</v>
      </c>
      <c r="E56" s="503">
        <v>4</v>
      </c>
      <c r="F56" s="64">
        <v>3287</v>
      </c>
      <c r="G56" s="35">
        <v>30</v>
      </c>
      <c r="H56" s="476"/>
      <c r="I56" s="476"/>
      <c r="J56" s="476"/>
      <c r="K56" s="476"/>
      <c r="L56" s="476"/>
      <c r="M56" s="476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3"/>
      <c r="Y56" s="483"/>
      <c r="Z56" s="483"/>
      <c r="AA56" s="483"/>
      <c r="AB56" s="483"/>
      <c r="AC56" s="483"/>
      <c r="AD56" s="24">
        <v>45</v>
      </c>
      <c r="AE56" s="24"/>
      <c r="AF56" s="24"/>
      <c r="AG56" s="24"/>
      <c r="AH56" s="24"/>
      <c r="AI56" s="24"/>
      <c r="AJ56" s="429"/>
      <c r="AK56" s="123">
        <f t="shared" si="4"/>
        <v>45</v>
      </c>
      <c r="AL56" s="378"/>
      <c r="AM56" s="110" t="s">
        <v>284</v>
      </c>
      <c r="AN56" s="72"/>
      <c r="AO56" s="72"/>
      <c r="AP56" s="72"/>
      <c r="AQ56" s="72"/>
      <c r="AR56" s="72"/>
      <c r="AS56" s="331"/>
      <c r="AT56" s="331"/>
      <c r="AU56" s="331"/>
      <c r="AV56" s="331"/>
      <c r="AW56" s="331"/>
    </row>
    <row r="57" spans="1:49" ht="12.75">
      <c r="A57" s="197">
        <v>57</v>
      </c>
      <c r="B57" s="307" t="s">
        <v>272</v>
      </c>
      <c r="C57" s="21" t="s">
        <v>129</v>
      </c>
      <c r="D57" s="398">
        <v>3.5</v>
      </c>
      <c r="E57" s="15">
        <v>4</v>
      </c>
      <c r="F57" s="158">
        <v>3856</v>
      </c>
      <c r="G57" s="7"/>
      <c r="H57" s="399">
        <v>2</v>
      </c>
      <c r="I57" s="400">
        <v>24</v>
      </c>
      <c r="J57" s="389">
        <v>0</v>
      </c>
      <c r="K57" s="389">
        <v>51</v>
      </c>
      <c r="L57" s="389">
        <v>90</v>
      </c>
      <c r="M57" s="389">
        <v>12</v>
      </c>
      <c r="N57" s="389"/>
      <c r="O57" s="336"/>
      <c r="P57" s="336"/>
      <c r="Q57" s="336"/>
      <c r="R57" s="336"/>
      <c r="S57" s="336"/>
      <c r="T57" s="336"/>
      <c r="U57" s="6"/>
      <c r="V57" s="6"/>
      <c r="W57" s="6"/>
      <c r="X57" s="222"/>
      <c r="Y57" s="222"/>
      <c r="Z57" s="222"/>
      <c r="AA57" s="222"/>
      <c r="AB57" s="6"/>
      <c r="AC57" s="222"/>
      <c r="AD57" s="31"/>
      <c r="AE57" s="31"/>
      <c r="AF57" s="31"/>
      <c r="AG57" s="31"/>
      <c r="AH57" s="31"/>
      <c r="AI57" s="31"/>
      <c r="AJ57" s="356"/>
      <c r="AK57" s="123">
        <f t="shared" si="4"/>
        <v>177</v>
      </c>
      <c r="AL57" s="376"/>
      <c r="AM57" s="111" t="s">
        <v>312</v>
      </c>
      <c r="AN57" s="72"/>
      <c r="AO57" s="72"/>
      <c r="AP57" s="72"/>
      <c r="AQ57" s="72"/>
      <c r="AR57" s="72"/>
      <c r="AS57" s="331"/>
      <c r="AT57" s="331"/>
      <c r="AU57" s="331"/>
      <c r="AV57" s="331"/>
      <c r="AW57" s="331"/>
    </row>
    <row r="58" spans="1:49" ht="12.75">
      <c r="A58" s="414">
        <v>58</v>
      </c>
      <c r="B58" s="306" t="s">
        <v>273</v>
      </c>
      <c r="C58" s="21" t="s">
        <v>129</v>
      </c>
      <c r="D58" s="398">
        <v>2</v>
      </c>
      <c r="E58" s="15">
        <v>4</v>
      </c>
      <c r="F58" s="158">
        <v>3390</v>
      </c>
      <c r="G58" s="7"/>
      <c r="H58" s="399"/>
      <c r="I58" s="400"/>
      <c r="J58" s="389"/>
      <c r="K58" s="389"/>
      <c r="L58" s="389">
        <v>8</v>
      </c>
      <c r="M58" s="389">
        <v>3</v>
      </c>
      <c r="N58" s="389">
        <v>4</v>
      </c>
      <c r="O58" s="336"/>
      <c r="P58" s="336"/>
      <c r="Q58" s="336"/>
      <c r="R58" s="336"/>
      <c r="S58" s="336"/>
      <c r="T58" s="336"/>
      <c r="U58" s="5"/>
      <c r="V58" s="5"/>
      <c r="W58" s="5"/>
      <c r="X58" s="41"/>
      <c r="Y58" s="41"/>
      <c r="Z58" s="41"/>
      <c r="AA58" s="41"/>
      <c r="AB58" s="5"/>
      <c r="AC58" s="41"/>
      <c r="AD58" s="18"/>
      <c r="AE58" s="18"/>
      <c r="AF58" s="18"/>
      <c r="AG58" s="18"/>
      <c r="AH58" s="18"/>
      <c r="AI58" s="18"/>
      <c r="AJ58" s="109"/>
      <c r="AK58" s="123">
        <f t="shared" si="4"/>
        <v>15</v>
      </c>
      <c r="AL58" s="376"/>
      <c r="AM58" s="111" t="s">
        <v>283</v>
      </c>
      <c r="AN58" s="72"/>
      <c r="AO58" s="72"/>
      <c r="AP58" s="72"/>
      <c r="AQ58" s="72"/>
      <c r="AR58" s="72"/>
      <c r="AS58" s="331"/>
      <c r="AT58" s="331"/>
      <c r="AU58" s="331"/>
      <c r="AV58" s="331"/>
      <c r="AW58" s="331"/>
    </row>
    <row r="59" spans="1:49" ht="12.75">
      <c r="A59" s="197">
        <v>59</v>
      </c>
      <c r="B59" s="306" t="s">
        <v>382</v>
      </c>
      <c r="C59" s="21" t="s">
        <v>129</v>
      </c>
      <c r="D59" s="49">
        <v>1.5</v>
      </c>
      <c r="E59" s="8">
        <v>4</v>
      </c>
      <c r="F59" s="144">
        <v>4400</v>
      </c>
      <c r="G59" s="7">
        <v>35</v>
      </c>
      <c r="H59" s="399">
        <v>108</v>
      </c>
      <c r="I59" s="221"/>
      <c r="J59" s="222"/>
      <c r="K59" s="222"/>
      <c r="L59" s="6"/>
      <c r="M59" s="336">
        <v>10</v>
      </c>
      <c r="N59" s="336">
        <v>113</v>
      </c>
      <c r="O59" s="336">
        <v>342</v>
      </c>
      <c r="P59" s="336">
        <v>407</v>
      </c>
      <c r="Q59" s="336">
        <v>692</v>
      </c>
      <c r="R59" s="336">
        <v>1293</v>
      </c>
      <c r="S59" s="336">
        <v>2331</v>
      </c>
      <c r="T59" s="336">
        <v>1268</v>
      </c>
      <c r="U59" s="5"/>
      <c r="V59" s="5"/>
      <c r="W59" s="5"/>
      <c r="X59" s="41"/>
      <c r="Y59" s="41"/>
      <c r="Z59" s="41"/>
      <c r="AA59" s="41"/>
      <c r="AB59" s="5"/>
      <c r="AC59" s="41"/>
      <c r="AD59" s="18"/>
      <c r="AE59" s="18"/>
      <c r="AF59" s="18"/>
      <c r="AG59" s="18"/>
      <c r="AH59" s="18"/>
      <c r="AI59" s="18"/>
      <c r="AJ59" s="109"/>
      <c r="AK59" s="123">
        <f>SUM(I59:AJ59)</f>
        <v>6456</v>
      </c>
      <c r="AL59" s="363">
        <f>10+115+313+383+549+1146+2219+1248</f>
        <v>5983</v>
      </c>
      <c r="AM59" s="111" t="s">
        <v>322</v>
      </c>
      <c r="AN59" s="72"/>
      <c r="AO59" s="72"/>
      <c r="AP59" s="72"/>
      <c r="AQ59" s="72"/>
      <c r="AR59" s="72"/>
      <c r="AS59" s="331"/>
      <c r="AT59" s="331"/>
      <c r="AU59" s="331"/>
      <c r="AV59" s="331"/>
      <c r="AW59" s="331"/>
    </row>
    <row r="60" spans="1:49" ht="12.75">
      <c r="A60" s="414">
        <v>60</v>
      </c>
      <c r="B60" s="306" t="s">
        <v>60</v>
      </c>
      <c r="C60" s="21" t="s">
        <v>129</v>
      </c>
      <c r="D60" s="49">
        <v>2.5</v>
      </c>
      <c r="E60" s="16">
        <v>6</v>
      </c>
      <c r="F60" s="64">
        <v>4889</v>
      </c>
      <c r="G60" s="14">
        <v>60</v>
      </c>
      <c r="H60" s="471"/>
      <c r="I60" s="259"/>
      <c r="J60" s="18"/>
      <c r="K60" s="18"/>
      <c r="L60" s="18"/>
      <c r="M60" s="18"/>
      <c r="N60" s="18"/>
      <c r="O60" s="18"/>
      <c r="P60" s="18"/>
      <c r="Q60" s="18"/>
      <c r="R60" s="18"/>
      <c r="S60" s="18">
        <v>895</v>
      </c>
      <c r="T60" s="18">
        <v>820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68"/>
      <c r="AG60" s="68"/>
      <c r="AH60" s="68"/>
      <c r="AI60" s="68"/>
      <c r="AJ60" s="109"/>
      <c r="AK60" s="123">
        <f t="shared" si="4"/>
        <v>1715</v>
      </c>
      <c r="AL60" s="376"/>
      <c r="AM60" s="111"/>
      <c r="AN60" s="72"/>
      <c r="AO60" s="72"/>
      <c r="AP60" s="72"/>
      <c r="AQ60" s="72"/>
      <c r="AR60" s="72"/>
      <c r="AS60" s="331"/>
      <c r="AT60" s="331"/>
      <c r="AU60" s="331"/>
      <c r="AV60" s="331"/>
      <c r="AW60" s="331"/>
    </row>
    <row r="61" spans="1:49" ht="12.75">
      <c r="A61" s="197">
        <v>61</v>
      </c>
      <c r="B61" s="306" t="s">
        <v>59</v>
      </c>
      <c r="C61" s="21" t="s">
        <v>129</v>
      </c>
      <c r="D61" s="49">
        <v>2.5</v>
      </c>
      <c r="E61" s="16">
        <v>6</v>
      </c>
      <c r="F61" s="64">
        <v>4889</v>
      </c>
      <c r="G61" s="14">
        <v>66</v>
      </c>
      <c r="H61" s="471"/>
      <c r="I61" s="25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>
        <f>579+15</f>
        <v>594</v>
      </c>
      <c r="U61" s="18">
        <f>13083+1133</f>
        <v>14216</v>
      </c>
      <c r="V61" s="18">
        <v>19616</v>
      </c>
      <c r="W61" s="18">
        <v>1000</v>
      </c>
      <c r="X61" s="18"/>
      <c r="Y61" s="18"/>
      <c r="Z61" s="18"/>
      <c r="AA61" s="18"/>
      <c r="AB61" s="18"/>
      <c r="AC61" s="18"/>
      <c r="AD61" s="18"/>
      <c r="AE61" s="18"/>
      <c r="AF61" s="68"/>
      <c r="AG61" s="68"/>
      <c r="AH61" s="68"/>
      <c r="AI61" s="68"/>
      <c r="AJ61" s="109"/>
      <c r="AK61" s="123">
        <f t="shared" si="4"/>
        <v>35426</v>
      </c>
      <c r="AL61" s="376"/>
      <c r="AM61" s="111" t="s">
        <v>130</v>
      </c>
      <c r="AN61" s="72"/>
      <c r="AO61" s="72"/>
      <c r="AP61" s="72"/>
      <c r="AQ61" s="72"/>
      <c r="AR61" s="72"/>
      <c r="AS61" s="331"/>
      <c r="AT61" s="331"/>
      <c r="AU61" s="331"/>
      <c r="AV61" s="331"/>
      <c r="AW61" s="331"/>
    </row>
    <row r="62" spans="1:49" ht="12.75">
      <c r="A62" s="414">
        <v>62</v>
      </c>
      <c r="B62" s="306" t="s">
        <v>240</v>
      </c>
      <c r="C62" s="21" t="s">
        <v>129</v>
      </c>
      <c r="D62" s="49" t="s">
        <v>241</v>
      </c>
      <c r="E62" s="16">
        <v>6</v>
      </c>
      <c r="F62" s="64">
        <v>4889</v>
      </c>
      <c r="G62" s="14">
        <v>66</v>
      </c>
      <c r="H62" s="471"/>
      <c r="I62" s="25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176</v>
      </c>
      <c r="U62" s="18">
        <v>469</v>
      </c>
      <c r="V62" s="18">
        <v>268</v>
      </c>
      <c r="W62" s="417"/>
      <c r="X62" s="18"/>
      <c r="Y62" s="18"/>
      <c r="Z62" s="18"/>
      <c r="AA62" s="18"/>
      <c r="AB62" s="18"/>
      <c r="AC62" s="18"/>
      <c r="AD62" s="18"/>
      <c r="AE62" s="18"/>
      <c r="AF62" s="68"/>
      <c r="AG62" s="68"/>
      <c r="AH62" s="68"/>
      <c r="AI62" s="68"/>
      <c r="AJ62" s="109"/>
      <c r="AK62" s="123">
        <f t="shared" si="4"/>
        <v>913</v>
      </c>
      <c r="AL62" s="376"/>
      <c r="AM62" s="111" t="s">
        <v>304</v>
      </c>
      <c r="AN62" s="72"/>
      <c r="AO62" s="72"/>
      <c r="AP62" s="72"/>
      <c r="AQ62" s="72"/>
      <c r="AR62" s="72"/>
      <c r="AS62" s="331"/>
      <c r="AT62" s="331"/>
      <c r="AU62" s="331"/>
      <c r="AV62" s="331"/>
      <c r="AW62" s="331"/>
    </row>
    <row r="63" spans="1:49" ht="12.75">
      <c r="A63" s="197">
        <v>63</v>
      </c>
      <c r="B63" s="306" t="s">
        <v>290</v>
      </c>
      <c r="C63" s="21" t="s">
        <v>129</v>
      </c>
      <c r="D63" s="49">
        <v>3</v>
      </c>
      <c r="E63" s="16">
        <v>6</v>
      </c>
      <c r="F63" s="64">
        <v>5562</v>
      </c>
      <c r="G63" s="14">
        <v>73</v>
      </c>
      <c r="H63" s="485"/>
      <c r="I63" s="25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59">
        <v>20</v>
      </c>
      <c r="W63" s="59">
        <f>17919+943</f>
        <v>18862</v>
      </c>
      <c r="X63" s="59">
        <f>25940+1771</f>
        <v>27711</v>
      </c>
      <c r="Y63" s="59">
        <f>38648+5484</f>
        <v>44132</v>
      </c>
      <c r="Z63" s="59">
        <f>49525+5999</f>
        <v>55524</v>
      </c>
      <c r="AA63" s="59">
        <f>53190+5794</f>
        <v>58984</v>
      </c>
      <c r="AB63" s="59">
        <f>47961+6309</f>
        <v>54270</v>
      </c>
      <c r="AC63" s="59">
        <f>31433+8175</f>
        <v>39608</v>
      </c>
      <c r="AD63" s="406">
        <f>325051-AC63-AB63-AA63-Z63-Y63-X63-W63-V63</f>
        <v>25940</v>
      </c>
      <c r="AE63" s="406">
        <f>29723+6828-AD63</f>
        <v>10611</v>
      </c>
      <c r="AF63" s="17">
        <f>5482+543</f>
        <v>6025</v>
      </c>
      <c r="AG63" s="17">
        <f>18490+1605</f>
        <v>20095</v>
      </c>
      <c r="AH63" s="17">
        <f>25280+3182</f>
        <v>28462</v>
      </c>
      <c r="AI63" s="17">
        <f>33678+1379</f>
        <v>35057</v>
      </c>
      <c r="AJ63" s="18">
        <f>41014+1919</f>
        <v>42933</v>
      </c>
      <c r="AK63" s="123">
        <f>SUM(I63:AJ63)</f>
        <v>468234</v>
      </c>
      <c r="AL63" s="376"/>
      <c r="AM63" s="111" t="s">
        <v>291</v>
      </c>
      <c r="AN63" s="72"/>
      <c r="AO63" s="72"/>
      <c r="AP63" s="72"/>
      <c r="AQ63" s="72"/>
      <c r="AR63" s="72"/>
      <c r="AS63" s="331"/>
      <c r="AT63" s="331"/>
      <c r="AU63" s="331"/>
      <c r="AV63" s="331"/>
      <c r="AW63" s="331"/>
    </row>
    <row r="64" spans="1:49" ht="12.75">
      <c r="A64" s="414">
        <v>64</v>
      </c>
      <c r="B64" s="309" t="s">
        <v>297</v>
      </c>
      <c r="C64" s="21"/>
      <c r="D64" s="49">
        <v>3</v>
      </c>
      <c r="E64" s="16">
        <v>6</v>
      </c>
      <c r="F64" s="64">
        <v>5562</v>
      </c>
      <c r="G64" s="14">
        <v>73</v>
      </c>
      <c r="H64" s="485"/>
      <c r="I64" s="25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7">
        <f>131</f>
        <v>131</v>
      </c>
      <c r="X64" s="17">
        <f>50</f>
        <v>50</v>
      </c>
      <c r="Y64" s="17">
        <f>150+31</f>
        <v>181</v>
      </c>
      <c r="Z64" s="17">
        <v>337</v>
      </c>
      <c r="AA64" s="17">
        <v>101</v>
      </c>
      <c r="AB64" s="17">
        <v>70</v>
      </c>
      <c r="AC64" s="17"/>
      <c r="AD64" s="17"/>
      <c r="AE64" s="17"/>
      <c r="AF64" s="68"/>
      <c r="AG64" s="68"/>
      <c r="AH64" s="68"/>
      <c r="AI64" s="68"/>
      <c r="AJ64" s="109"/>
      <c r="AK64" s="123">
        <f t="shared" si="4"/>
        <v>870</v>
      </c>
      <c r="AL64" s="376"/>
      <c r="AM64" s="111" t="s">
        <v>298</v>
      </c>
      <c r="AN64" s="72"/>
      <c r="AO64" s="72"/>
      <c r="AP64" s="72"/>
      <c r="AQ64" s="72"/>
      <c r="AR64" s="72"/>
      <c r="AS64" s="331"/>
      <c r="AT64" s="331"/>
      <c r="AU64" s="331"/>
      <c r="AV64" s="331"/>
      <c r="AW64" s="331"/>
    </row>
    <row r="65" spans="1:49" ht="12.75">
      <c r="A65" s="197">
        <v>65</v>
      </c>
      <c r="B65" s="306" t="s">
        <v>200</v>
      </c>
      <c r="C65" s="21" t="s">
        <v>222</v>
      </c>
      <c r="D65" s="49">
        <v>3</v>
      </c>
      <c r="E65" s="16">
        <v>6</v>
      </c>
      <c r="F65" s="64">
        <v>5562</v>
      </c>
      <c r="G65" s="14">
        <v>73</v>
      </c>
      <c r="H65" s="485"/>
      <c r="I65" s="25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5"/>
      <c r="AE65" s="5"/>
      <c r="AF65" s="17">
        <f>1099+794</f>
        <v>1893</v>
      </c>
      <c r="AG65" s="17">
        <f>3103+1056</f>
        <v>4159</v>
      </c>
      <c r="AH65" s="17">
        <f>206+207</f>
        <v>413</v>
      </c>
      <c r="AI65" s="68"/>
      <c r="AJ65" s="484"/>
      <c r="AK65" s="123">
        <f>SUM(I65:AJ65)</f>
        <v>6465</v>
      </c>
      <c r="AL65" s="376">
        <v>10400</v>
      </c>
      <c r="AM65" s="111" t="s">
        <v>292</v>
      </c>
      <c r="AN65" s="72"/>
      <c r="AO65" s="72"/>
      <c r="AP65" s="72"/>
      <c r="AQ65" s="72"/>
      <c r="AR65" s="72"/>
      <c r="AS65" s="331"/>
      <c r="AT65" s="331"/>
      <c r="AU65" s="331"/>
      <c r="AV65" s="331"/>
      <c r="AW65" s="331"/>
    </row>
    <row r="66" spans="1:49" ht="12.75">
      <c r="A66" s="414">
        <v>66</v>
      </c>
      <c r="B66" s="306" t="s">
        <v>296</v>
      </c>
      <c r="C66" s="21" t="s">
        <v>201</v>
      </c>
      <c r="D66" s="49">
        <v>3</v>
      </c>
      <c r="E66" s="16">
        <v>6</v>
      </c>
      <c r="F66" s="64">
        <v>5562</v>
      </c>
      <c r="G66" s="14">
        <v>73</v>
      </c>
      <c r="H66" s="485"/>
      <c r="I66" s="25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68"/>
      <c r="AG66" s="68"/>
      <c r="AH66" s="18">
        <f>2073+637</f>
        <v>2710</v>
      </c>
      <c r="AI66" s="18">
        <f>7760+930</f>
        <v>8690</v>
      </c>
      <c r="AJ66" s="18">
        <f>8008+1668</f>
        <v>9676</v>
      </c>
      <c r="AK66" s="123">
        <f>SUM(I66:AJ66)</f>
        <v>21076</v>
      </c>
      <c r="AL66" s="376"/>
      <c r="AM66" s="111" t="s">
        <v>293</v>
      </c>
      <c r="AN66" s="72"/>
      <c r="AO66" s="72"/>
      <c r="AP66" s="72"/>
      <c r="AQ66" s="72"/>
      <c r="AR66" s="72"/>
      <c r="AS66" s="331"/>
      <c r="AT66" s="331"/>
      <c r="AU66" s="331"/>
      <c r="AV66" s="331"/>
      <c r="AW66" s="331"/>
    </row>
    <row r="67" spans="1:49" ht="12.75">
      <c r="A67" s="197">
        <v>67</v>
      </c>
      <c r="B67" s="309" t="s">
        <v>295</v>
      </c>
      <c r="C67" s="21"/>
      <c r="D67" s="49">
        <v>3</v>
      </c>
      <c r="E67" s="16">
        <v>6</v>
      </c>
      <c r="F67" s="64">
        <v>5562</v>
      </c>
      <c r="G67" s="14">
        <v>73</v>
      </c>
      <c r="H67" s="485"/>
      <c r="I67" s="25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>
        <v>67</v>
      </c>
      <c r="AD67" s="68">
        <v>900</v>
      </c>
      <c r="AE67" s="18"/>
      <c r="AF67" s="68"/>
      <c r="AG67" s="68"/>
      <c r="AH67" s="18">
        <v>81</v>
      </c>
      <c r="AI67" s="18">
        <v>164</v>
      </c>
      <c r="AJ67" s="109">
        <v>528</v>
      </c>
      <c r="AK67" s="123">
        <f>SUM(I67:AJ67)</f>
        <v>1740</v>
      </c>
      <c r="AL67" s="376"/>
      <c r="AM67" s="111" t="s">
        <v>294</v>
      </c>
      <c r="AN67" s="72"/>
      <c r="AO67" s="72"/>
      <c r="AP67" s="72"/>
      <c r="AQ67" s="72"/>
      <c r="AR67" s="72"/>
      <c r="AS67" s="331"/>
      <c r="AT67" s="331"/>
      <c r="AU67" s="331"/>
      <c r="AV67" s="331"/>
      <c r="AW67" s="331"/>
    </row>
    <row r="68" spans="1:49" ht="12.75">
      <c r="A68" s="414">
        <v>68</v>
      </c>
      <c r="B68" s="306" t="s">
        <v>150</v>
      </c>
      <c r="C68" s="523" t="s">
        <v>129</v>
      </c>
      <c r="D68" s="49">
        <v>3</v>
      </c>
      <c r="E68" s="16">
        <v>6</v>
      </c>
      <c r="F68" s="64">
        <v>5562</v>
      </c>
      <c r="G68" s="14">
        <v>73</v>
      </c>
      <c r="H68" s="485"/>
      <c r="I68" s="25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255">
        <v>881</v>
      </c>
      <c r="W68" s="255">
        <f>341+359</f>
        <v>700</v>
      </c>
      <c r="X68" s="255">
        <f>464+1036</f>
        <v>1500</v>
      </c>
      <c r="Y68" s="255">
        <f>364+1516</f>
        <v>1880</v>
      </c>
      <c r="Z68" s="255">
        <f>505+1565</f>
        <v>2070</v>
      </c>
      <c r="AA68" s="255">
        <f>1187+1982</f>
        <v>3169</v>
      </c>
      <c r="AB68" s="255">
        <f>1331+3135</f>
        <v>4466</v>
      </c>
      <c r="AC68" s="255">
        <f>901+2598</f>
        <v>3499</v>
      </c>
      <c r="AD68" s="407">
        <f>21239-AC68-AB68-AA68-Z68-Y68-X68-W68-V68</f>
        <v>3074</v>
      </c>
      <c r="AE68" s="407">
        <f>1710+2225-AD68</f>
        <v>861</v>
      </c>
      <c r="AF68" s="17">
        <v>113</v>
      </c>
      <c r="AG68" s="68"/>
      <c r="AH68" s="68"/>
      <c r="AI68" s="68"/>
      <c r="AJ68" s="109"/>
      <c r="AK68" s="123">
        <f t="shared" si="4"/>
        <v>22213</v>
      </c>
      <c r="AL68" s="376">
        <v>21239</v>
      </c>
      <c r="AM68" s="111" t="s">
        <v>202</v>
      </c>
      <c r="AN68" s="72"/>
      <c r="AO68" s="72"/>
      <c r="AP68" s="72"/>
      <c r="AQ68" s="72"/>
      <c r="AR68" s="72"/>
      <c r="AS68" s="331"/>
      <c r="AT68" s="331"/>
      <c r="AU68" s="331"/>
      <c r="AV68" s="331"/>
      <c r="AW68" s="331"/>
    </row>
    <row r="69" spans="1:51" s="45" customFormat="1" ht="12.75">
      <c r="A69" s="197">
        <v>69</v>
      </c>
      <c r="B69" s="494" t="s">
        <v>383</v>
      </c>
      <c r="C69" s="21" t="s">
        <v>129</v>
      </c>
      <c r="D69" s="63" t="s">
        <v>315</v>
      </c>
      <c r="E69" s="16">
        <v>6</v>
      </c>
      <c r="F69" s="64">
        <v>5562</v>
      </c>
      <c r="G69" s="14">
        <v>73</v>
      </c>
      <c r="H69" s="486"/>
      <c r="I69" s="487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>
        <v>398</v>
      </c>
      <c r="Y69" s="375">
        <v>603</v>
      </c>
      <c r="Z69" s="375">
        <v>594</v>
      </c>
      <c r="AA69" s="375">
        <v>1010</v>
      </c>
      <c r="AB69" s="375">
        <v>378</v>
      </c>
      <c r="AC69" s="375">
        <v>144</v>
      </c>
      <c r="AD69" s="375"/>
      <c r="AE69" s="67"/>
      <c r="AF69" s="334"/>
      <c r="AG69" s="334"/>
      <c r="AH69" s="334"/>
      <c r="AI69" s="334"/>
      <c r="AJ69" s="396"/>
      <c r="AK69" s="123">
        <f>SUM(I69:AJ69)</f>
        <v>3127</v>
      </c>
      <c r="AL69" s="377">
        <v>547</v>
      </c>
      <c r="AM69" s="114" t="s">
        <v>313</v>
      </c>
      <c r="AN69" s="72"/>
      <c r="AO69" s="72"/>
      <c r="AP69" s="72"/>
      <c r="AQ69" s="72"/>
      <c r="AR69" s="72"/>
      <c r="AU69" s="331"/>
      <c r="AV69" s="331"/>
      <c r="AW69" s="331"/>
      <c r="AX69"/>
      <c r="AY69"/>
    </row>
    <row r="70" spans="1:45" s="45" customFormat="1" ht="12.75">
      <c r="A70" s="414">
        <v>70</v>
      </c>
      <c r="B70" s="494" t="s">
        <v>384</v>
      </c>
      <c r="C70" s="21" t="s">
        <v>129</v>
      </c>
      <c r="D70" s="63" t="s">
        <v>316</v>
      </c>
      <c r="E70" s="16">
        <v>6</v>
      </c>
      <c r="F70" s="64">
        <v>5562</v>
      </c>
      <c r="G70" s="14">
        <v>82</v>
      </c>
      <c r="H70" s="486"/>
      <c r="I70" s="487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>
        <v>21</v>
      </c>
      <c r="AB70" s="397">
        <v>594</v>
      </c>
      <c r="AC70" s="17">
        <f>1029+180</f>
        <v>1209</v>
      </c>
      <c r="AD70" s="428">
        <f>942+456-AE70</f>
        <v>998</v>
      </c>
      <c r="AE70" s="437">
        <v>400</v>
      </c>
      <c r="AF70" s="334"/>
      <c r="AG70" s="334"/>
      <c r="AH70" s="334"/>
      <c r="AI70" s="334"/>
      <c r="AJ70" s="396"/>
      <c r="AK70" s="123">
        <f>SUM(I70:AJ70)</f>
        <v>3222</v>
      </c>
      <c r="AL70" s="377">
        <v>3250</v>
      </c>
      <c r="AM70" s="114" t="s">
        <v>314</v>
      </c>
      <c r="AN70" s="72"/>
      <c r="AO70" s="72"/>
      <c r="AP70" s="72"/>
      <c r="AQ70" s="72"/>
      <c r="AR70" s="72"/>
      <c r="AS70" s="1"/>
    </row>
    <row r="71" spans="1:51" s="45" customFormat="1" ht="12.75">
      <c r="A71" s="197">
        <v>71</v>
      </c>
      <c r="B71" s="494" t="s">
        <v>385</v>
      </c>
      <c r="C71" s="21" t="s">
        <v>129</v>
      </c>
      <c r="D71" s="63" t="s">
        <v>203</v>
      </c>
      <c r="E71" s="16">
        <v>6</v>
      </c>
      <c r="F71" s="64">
        <v>5562</v>
      </c>
      <c r="G71" s="14">
        <v>73</v>
      </c>
      <c r="H71" s="486"/>
      <c r="I71" s="487"/>
      <c r="J71" s="375"/>
      <c r="K71" s="375"/>
      <c r="L71" s="375"/>
      <c r="M71" s="375"/>
      <c r="N71" s="375"/>
      <c r="O71" s="375"/>
      <c r="P71" s="375"/>
      <c r="Q71" s="375"/>
      <c r="R71" s="17"/>
      <c r="S71" s="17"/>
      <c r="T71" s="17"/>
      <c r="U71" s="17"/>
      <c r="V71" s="17"/>
      <c r="W71" s="17"/>
      <c r="X71" s="17">
        <v>4</v>
      </c>
      <c r="Y71" s="17"/>
      <c r="Z71" s="17">
        <v>2</v>
      </c>
      <c r="AA71" s="17">
        <v>141</v>
      </c>
      <c r="AB71" s="17">
        <v>272</v>
      </c>
      <c r="AC71" s="17">
        <v>267</v>
      </c>
      <c r="AD71" s="17">
        <v>80</v>
      </c>
      <c r="AE71" s="375"/>
      <c r="AF71" s="334"/>
      <c r="AG71" s="334"/>
      <c r="AH71" s="334"/>
      <c r="AI71" s="334"/>
      <c r="AJ71" s="396"/>
      <c r="AK71" s="123">
        <f>SUM(I71:AJ71)</f>
        <v>766</v>
      </c>
      <c r="AL71" s="377">
        <v>766</v>
      </c>
      <c r="AM71" s="114" t="s">
        <v>221</v>
      </c>
      <c r="AN71" s="72"/>
      <c r="AO71" s="72"/>
      <c r="AP71" s="72"/>
      <c r="AQ71" s="72"/>
      <c r="AR71" s="72"/>
      <c r="AU71" s="331"/>
      <c r="AV71" s="331"/>
      <c r="AW71" s="331"/>
      <c r="AX71"/>
      <c r="AY71"/>
    </row>
    <row r="72" spans="1:51" s="45" customFormat="1" ht="12.75">
      <c r="A72" s="414">
        <v>72</v>
      </c>
      <c r="B72" s="306" t="s">
        <v>238</v>
      </c>
      <c r="C72" s="21" t="s">
        <v>129</v>
      </c>
      <c r="D72" s="63">
        <v>3.5</v>
      </c>
      <c r="E72" s="16">
        <v>6</v>
      </c>
      <c r="F72" s="64">
        <v>5562</v>
      </c>
      <c r="G72" s="14">
        <v>73</v>
      </c>
      <c r="H72" s="486"/>
      <c r="I72" s="487"/>
      <c r="J72" s="375"/>
      <c r="K72" s="375"/>
      <c r="L72" s="375"/>
      <c r="M72" s="375"/>
      <c r="N72" s="375"/>
      <c r="O72" s="375"/>
      <c r="P72" s="375"/>
      <c r="Q72" s="375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>
        <v>336</v>
      </c>
      <c r="AC72" s="379">
        <v>311</v>
      </c>
      <c r="AD72" s="379">
        <v>205</v>
      </c>
      <c r="AE72" s="375"/>
      <c r="AF72" s="334"/>
      <c r="AG72" s="334"/>
      <c r="AH72" s="334"/>
      <c r="AI72" s="334"/>
      <c r="AJ72" s="396"/>
      <c r="AK72" s="123">
        <f t="shared" si="4"/>
        <v>852</v>
      </c>
      <c r="AL72" s="377">
        <v>3037</v>
      </c>
      <c r="AM72" s="114" t="s">
        <v>239</v>
      </c>
      <c r="AN72" s="72"/>
      <c r="AO72" s="72"/>
      <c r="AP72" s="72"/>
      <c r="AQ72" s="72"/>
      <c r="AR72" s="72"/>
      <c r="AU72" s="331"/>
      <c r="AV72" s="331"/>
      <c r="AW72" s="331"/>
      <c r="AX72"/>
      <c r="AY72"/>
    </row>
    <row r="73" spans="1:51" s="45" customFormat="1" ht="12.75">
      <c r="A73" s="197">
        <v>73</v>
      </c>
      <c r="B73" s="306" t="s">
        <v>237</v>
      </c>
      <c r="C73" s="21" t="s">
        <v>129</v>
      </c>
      <c r="D73" s="63">
        <v>3.5</v>
      </c>
      <c r="E73" s="16">
        <v>6</v>
      </c>
      <c r="F73" s="64">
        <v>5562</v>
      </c>
      <c r="G73" s="14">
        <v>73</v>
      </c>
      <c r="H73" s="486"/>
      <c r="I73" s="487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409">
        <v>353</v>
      </c>
      <c r="X73" s="409">
        <v>262</v>
      </c>
      <c r="Y73" s="409">
        <v>361</v>
      </c>
      <c r="Z73" s="409">
        <v>362</v>
      </c>
      <c r="AA73" s="409">
        <v>452</v>
      </c>
      <c r="AB73" s="409">
        <v>884</v>
      </c>
      <c r="AC73" s="409">
        <v>737</v>
      </c>
      <c r="AD73" s="408">
        <f>4223-AC73-AB73-AA73-Z73-Y73-X73-W73</f>
        <v>812</v>
      </c>
      <c r="AE73" s="408">
        <f>1162-AD73</f>
        <v>350</v>
      </c>
      <c r="AF73" s="334"/>
      <c r="AG73" s="334"/>
      <c r="AH73" s="334"/>
      <c r="AI73" s="334"/>
      <c r="AJ73" s="396"/>
      <c r="AK73" s="123">
        <f t="shared" si="4"/>
        <v>4573</v>
      </c>
      <c r="AL73" s="377">
        <v>4223</v>
      </c>
      <c r="AM73" s="114" t="s">
        <v>204</v>
      </c>
      <c r="AN73" s="72"/>
      <c r="AO73" s="72"/>
      <c r="AP73" s="72"/>
      <c r="AQ73" s="72"/>
      <c r="AR73" s="72"/>
      <c r="AS73" s="1"/>
      <c r="AU73" s="331"/>
      <c r="AV73" s="331"/>
      <c r="AW73" s="331"/>
      <c r="AX73"/>
      <c r="AY73"/>
    </row>
    <row r="74" spans="1:45" s="45" customFormat="1" ht="12.75">
      <c r="A74" s="414">
        <v>74</v>
      </c>
      <c r="B74" s="494" t="s">
        <v>206</v>
      </c>
      <c r="C74" s="21" t="s">
        <v>129</v>
      </c>
      <c r="D74" s="63">
        <v>3.5</v>
      </c>
      <c r="E74" s="16">
        <v>6</v>
      </c>
      <c r="F74" s="158">
        <v>5562</v>
      </c>
      <c r="G74" s="61">
        <v>73</v>
      </c>
      <c r="H74" s="486"/>
      <c r="I74" s="487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>
        <v>170</v>
      </c>
      <c r="Z74" s="375">
        <v>390</v>
      </c>
      <c r="AA74" s="375">
        <v>247</v>
      </c>
      <c r="AB74" s="375">
        <v>8</v>
      </c>
      <c r="AC74" s="375">
        <v>8</v>
      </c>
      <c r="AD74" s="375"/>
      <c r="AE74" s="375"/>
      <c r="AF74" s="334"/>
      <c r="AG74" s="334"/>
      <c r="AH74" s="334"/>
      <c r="AI74" s="334"/>
      <c r="AJ74" s="396"/>
      <c r="AK74" s="123">
        <f>SUM(I74:AJ74)</f>
        <v>823</v>
      </c>
      <c r="AL74" s="377">
        <v>821</v>
      </c>
      <c r="AM74" s="114" t="s">
        <v>208</v>
      </c>
      <c r="AN74" s="72"/>
      <c r="AO74" s="72"/>
      <c r="AP74" s="72"/>
      <c r="AQ74" s="72"/>
      <c r="AR74" s="72"/>
      <c r="AS74" s="1"/>
    </row>
    <row r="75" spans="1:49" ht="12.75">
      <c r="A75" s="197">
        <v>75</v>
      </c>
      <c r="B75" s="306" t="s">
        <v>282</v>
      </c>
      <c r="C75" s="21" t="s">
        <v>129</v>
      </c>
      <c r="D75" s="402">
        <v>3</v>
      </c>
      <c r="E75" s="349">
        <v>6</v>
      </c>
      <c r="F75" s="158">
        <v>5562</v>
      </c>
      <c r="G75" s="401">
        <v>45</v>
      </c>
      <c r="H75" s="485"/>
      <c r="I75" s="25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>
        <v>119</v>
      </c>
      <c r="Y75" s="18">
        <v>6</v>
      </c>
      <c r="Z75" s="18"/>
      <c r="AA75" s="18"/>
      <c r="AB75" s="18"/>
      <c r="AC75" s="18"/>
      <c r="AD75" s="5"/>
      <c r="AE75" s="5"/>
      <c r="AF75" s="68"/>
      <c r="AG75" s="68"/>
      <c r="AH75" s="68"/>
      <c r="AI75" s="68"/>
      <c r="AJ75" s="109"/>
      <c r="AK75" s="123">
        <f>SUM(I75:AJ75)</f>
        <v>125</v>
      </c>
      <c r="AL75" s="376"/>
      <c r="AM75" s="111" t="s">
        <v>277</v>
      </c>
      <c r="AN75" s="72"/>
      <c r="AO75" s="72"/>
      <c r="AP75" s="72"/>
      <c r="AQ75" s="72"/>
      <c r="AR75" s="72"/>
      <c r="AS75" s="331"/>
      <c r="AT75" s="331"/>
      <c r="AU75" s="331"/>
      <c r="AV75" s="331"/>
      <c r="AW75" s="331"/>
    </row>
    <row r="76" spans="1:45" s="45" customFormat="1" ht="12.75">
      <c r="A76" s="414">
        <v>76</v>
      </c>
      <c r="B76" s="494" t="s">
        <v>386</v>
      </c>
      <c r="C76" s="21" t="s">
        <v>129</v>
      </c>
      <c r="D76" s="403">
        <v>2.5</v>
      </c>
      <c r="E76" s="349">
        <v>6</v>
      </c>
      <c r="F76" s="158">
        <v>5562</v>
      </c>
      <c r="G76" s="401">
        <v>45</v>
      </c>
      <c r="H76" s="486"/>
      <c r="I76" s="487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>
        <v>360</v>
      </c>
      <c r="Z76" s="375">
        <v>882</v>
      </c>
      <c r="AA76" s="17">
        <v>488</v>
      </c>
      <c r="AB76" s="375"/>
      <c r="AC76" s="375"/>
      <c r="AD76" s="65"/>
      <c r="AE76" s="65"/>
      <c r="AF76" s="334"/>
      <c r="AG76" s="334"/>
      <c r="AH76" s="334"/>
      <c r="AI76" s="334"/>
      <c r="AJ76" s="396"/>
      <c r="AK76" s="123">
        <f t="shared" si="4"/>
        <v>1730</v>
      </c>
      <c r="AL76" s="377">
        <v>2592</v>
      </c>
      <c r="AM76" s="114" t="s">
        <v>205</v>
      </c>
      <c r="AN76" s="72"/>
      <c r="AO76" s="72"/>
      <c r="AP76" s="72"/>
      <c r="AQ76" s="72"/>
      <c r="AR76" s="72"/>
      <c r="AS76" s="1"/>
    </row>
    <row r="77" spans="1:45" s="45" customFormat="1" ht="12.75">
      <c r="A77" s="197">
        <v>77</v>
      </c>
      <c r="B77" s="500" t="s">
        <v>387</v>
      </c>
      <c r="C77" s="21" t="s">
        <v>129</v>
      </c>
      <c r="D77" s="63">
        <v>2.4</v>
      </c>
      <c r="E77" s="349">
        <v>6</v>
      </c>
      <c r="F77" s="158">
        <v>5562</v>
      </c>
      <c r="G77" s="401">
        <v>45</v>
      </c>
      <c r="H77" s="486"/>
      <c r="I77" s="487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410">
        <v>404</v>
      </c>
      <c r="AB77" s="410">
        <f>3443+2816</f>
        <v>6259</v>
      </c>
      <c r="AC77" s="255">
        <f>53+6659</f>
        <v>6712</v>
      </c>
      <c r="AD77" s="411">
        <f>15445-AC77-AB77-AA77</f>
        <v>2070</v>
      </c>
      <c r="AE77" s="411">
        <f>5970-AD77</f>
        <v>3900</v>
      </c>
      <c r="AF77" s="334"/>
      <c r="AG77" s="334"/>
      <c r="AH77" s="334"/>
      <c r="AI77" s="334"/>
      <c r="AJ77" s="396">
        <v>446</v>
      </c>
      <c r="AK77" s="123">
        <f aca="true" t="shared" si="7" ref="AK77:AK82">SUM(I77:AJ77)</f>
        <v>19791</v>
      </c>
      <c r="AL77" s="377">
        <v>15445</v>
      </c>
      <c r="AM77" s="114" t="s">
        <v>310</v>
      </c>
      <c r="AN77" s="72"/>
      <c r="AO77" s="72"/>
      <c r="AP77" s="72"/>
      <c r="AQ77" s="72"/>
      <c r="AR77" s="72"/>
      <c r="AS77" s="1"/>
    </row>
    <row r="78" spans="1:45" s="45" customFormat="1" ht="12.75">
      <c r="A78" s="414">
        <v>78</v>
      </c>
      <c r="B78" s="494" t="s">
        <v>388</v>
      </c>
      <c r="C78" s="21" t="s">
        <v>129</v>
      </c>
      <c r="D78" s="402">
        <v>2.5</v>
      </c>
      <c r="E78" s="349">
        <v>6</v>
      </c>
      <c r="F78" s="64">
        <v>5562</v>
      </c>
      <c r="G78" s="401">
        <v>48</v>
      </c>
      <c r="H78" s="486"/>
      <c r="I78" s="487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>
        <v>9</v>
      </c>
      <c r="AB78" s="375">
        <v>6</v>
      </c>
      <c r="AC78" s="397"/>
      <c r="AD78" s="397"/>
      <c r="AE78" s="397"/>
      <c r="AF78" s="375"/>
      <c r="AG78" s="375"/>
      <c r="AH78" s="375"/>
      <c r="AI78" s="375"/>
      <c r="AJ78" s="396"/>
      <c r="AK78" s="123">
        <f t="shared" si="7"/>
        <v>15</v>
      </c>
      <c r="AL78" s="377"/>
      <c r="AM78" s="114" t="s">
        <v>284</v>
      </c>
      <c r="AN78" s="72"/>
      <c r="AO78" s="72"/>
      <c r="AP78" s="72"/>
      <c r="AQ78" s="72"/>
      <c r="AR78" s="72"/>
      <c r="AS78" s="1"/>
    </row>
    <row r="79" spans="1:45" s="45" customFormat="1" ht="12.75">
      <c r="A79" s="197">
        <v>79</v>
      </c>
      <c r="B79" s="494" t="s">
        <v>389</v>
      </c>
      <c r="C79" s="21" t="s">
        <v>129</v>
      </c>
      <c r="D79" s="402">
        <v>2.5</v>
      </c>
      <c r="E79" s="349">
        <v>6</v>
      </c>
      <c r="F79" s="64">
        <v>5562</v>
      </c>
      <c r="G79" s="401">
        <v>48</v>
      </c>
      <c r="H79" s="486"/>
      <c r="I79" s="487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17"/>
      <c r="AA79" s="17"/>
      <c r="AB79" s="17">
        <v>32</v>
      </c>
      <c r="AC79" s="17">
        <v>11</v>
      </c>
      <c r="AD79" s="17"/>
      <c r="AE79" s="17"/>
      <c r="AF79" s="375"/>
      <c r="AG79" s="375"/>
      <c r="AH79" s="375"/>
      <c r="AI79" s="375"/>
      <c r="AJ79" s="396"/>
      <c r="AK79" s="123">
        <f t="shared" si="7"/>
        <v>43</v>
      </c>
      <c r="AL79" s="377"/>
      <c r="AM79" s="114" t="s">
        <v>285</v>
      </c>
      <c r="AN79" s="72"/>
      <c r="AO79" s="72"/>
      <c r="AP79" s="72"/>
      <c r="AQ79" s="72"/>
      <c r="AR79" s="72"/>
      <c r="AS79" s="1"/>
    </row>
    <row r="80" spans="1:45" s="45" customFormat="1" ht="12.75">
      <c r="A80" s="414">
        <v>80</v>
      </c>
      <c r="B80" s="494" t="s">
        <v>390</v>
      </c>
      <c r="C80" s="21" t="s">
        <v>129</v>
      </c>
      <c r="D80" s="402">
        <v>3</v>
      </c>
      <c r="E80" s="349">
        <v>6</v>
      </c>
      <c r="F80" s="64">
        <v>5562</v>
      </c>
      <c r="G80" s="401">
        <v>48</v>
      </c>
      <c r="H80" s="486"/>
      <c r="I80" s="487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17"/>
      <c r="Z80" s="17"/>
      <c r="AA80" s="17"/>
      <c r="AB80" s="17"/>
      <c r="AC80" s="17"/>
      <c r="AD80" s="17"/>
      <c r="AE80" s="17"/>
      <c r="AF80" s="17"/>
      <c r="AG80" s="375">
        <v>5</v>
      </c>
      <c r="AH80" s="375">
        <v>5</v>
      </c>
      <c r="AI80" s="375"/>
      <c r="AJ80" s="396"/>
      <c r="AK80" s="123">
        <f t="shared" si="7"/>
        <v>10</v>
      </c>
      <c r="AL80" s="377"/>
      <c r="AM80" s="114" t="s">
        <v>284</v>
      </c>
      <c r="AN80" s="72"/>
      <c r="AO80" s="72"/>
      <c r="AP80" s="72"/>
      <c r="AQ80" s="72"/>
      <c r="AR80" s="72"/>
      <c r="AS80" s="1"/>
    </row>
    <row r="81" spans="1:45" s="45" customFormat="1" ht="12.75">
      <c r="A81" s="197">
        <v>81</v>
      </c>
      <c r="B81" s="494" t="s">
        <v>391</v>
      </c>
      <c r="C81" s="21" t="s">
        <v>129</v>
      </c>
      <c r="D81" s="402">
        <v>3</v>
      </c>
      <c r="E81" s="16">
        <v>6</v>
      </c>
      <c r="F81" s="64">
        <v>5562</v>
      </c>
      <c r="G81" s="14">
        <v>73</v>
      </c>
      <c r="H81" s="486"/>
      <c r="I81" s="487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17"/>
      <c r="Z81" s="17"/>
      <c r="AA81" s="17"/>
      <c r="AB81" s="17"/>
      <c r="AC81" s="17"/>
      <c r="AD81" s="17">
        <v>197</v>
      </c>
      <c r="AE81" s="17"/>
      <c r="AF81" s="17"/>
      <c r="AG81" s="375"/>
      <c r="AH81" s="375"/>
      <c r="AI81" s="375"/>
      <c r="AJ81" s="396"/>
      <c r="AK81" s="123">
        <f t="shared" si="7"/>
        <v>197</v>
      </c>
      <c r="AL81" s="377"/>
      <c r="AM81" s="114" t="s">
        <v>301</v>
      </c>
      <c r="AN81" s="72"/>
      <c r="AO81" s="72"/>
      <c r="AP81" s="72"/>
      <c r="AQ81" s="72"/>
      <c r="AR81" s="72"/>
      <c r="AS81" s="1"/>
    </row>
    <row r="82" spans="1:45" s="45" customFormat="1" ht="12.75">
      <c r="A82" s="414">
        <v>82</v>
      </c>
      <c r="B82" s="494" t="s">
        <v>299</v>
      </c>
      <c r="C82" s="21" t="s">
        <v>129</v>
      </c>
      <c r="D82" s="402">
        <v>3</v>
      </c>
      <c r="E82" s="16">
        <v>6</v>
      </c>
      <c r="F82" s="64">
        <v>5562</v>
      </c>
      <c r="G82" s="14">
        <v>73</v>
      </c>
      <c r="H82" s="486"/>
      <c r="I82" s="487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17"/>
      <c r="Z82" s="17"/>
      <c r="AA82" s="17"/>
      <c r="AB82" s="17"/>
      <c r="AC82" s="17">
        <v>4539</v>
      </c>
      <c r="AD82" s="17"/>
      <c r="AE82" s="17"/>
      <c r="AF82" s="17"/>
      <c r="AG82" s="375"/>
      <c r="AH82" s="375"/>
      <c r="AI82" s="375"/>
      <c r="AJ82" s="396"/>
      <c r="AK82" s="123">
        <f t="shared" si="7"/>
        <v>4539</v>
      </c>
      <c r="AL82" s="377"/>
      <c r="AM82" s="114" t="s">
        <v>300</v>
      </c>
      <c r="AN82" s="72"/>
      <c r="AO82" s="72"/>
      <c r="AP82" s="72"/>
      <c r="AQ82" s="72"/>
      <c r="AR82" s="72"/>
      <c r="AS82" s="1"/>
    </row>
    <row r="83" spans="1:45" s="45" customFormat="1" ht="12.75">
      <c r="A83" s="197">
        <v>83</v>
      </c>
      <c r="B83" s="494" t="s">
        <v>392</v>
      </c>
      <c r="C83" s="21" t="s">
        <v>129</v>
      </c>
      <c r="D83" s="49" t="s">
        <v>207</v>
      </c>
      <c r="E83" s="16">
        <v>6</v>
      </c>
      <c r="F83" s="64">
        <v>5562</v>
      </c>
      <c r="G83" s="14">
        <v>73</v>
      </c>
      <c r="H83" s="486"/>
      <c r="I83" s="487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17"/>
      <c r="Z83" s="17"/>
      <c r="AA83" s="17">
        <v>150</v>
      </c>
      <c r="AB83" s="17"/>
      <c r="AC83" s="18">
        <v>250</v>
      </c>
      <c r="AD83" s="66"/>
      <c r="AE83" s="388"/>
      <c r="AF83" s="265"/>
      <c r="AG83" s="265"/>
      <c r="AH83" s="334"/>
      <c r="AI83" s="334"/>
      <c r="AJ83" s="396"/>
      <c r="AK83" s="123">
        <f>SUM(I83:AJ83)</f>
        <v>400</v>
      </c>
      <c r="AL83" s="377"/>
      <c r="AM83" s="114" t="s">
        <v>223</v>
      </c>
      <c r="AN83" s="72"/>
      <c r="AO83" s="72"/>
      <c r="AP83" s="72"/>
      <c r="AQ83" s="72"/>
      <c r="AR83" s="72"/>
      <c r="AS83" s="1"/>
    </row>
    <row r="84" spans="1:44" ht="12.75">
      <c r="A84" s="414">
        <v>84</v>
      </c>
      <c r="B84" s="306" t="s">
        <v>393</v>
      </c>
      <c r="C84" s="21" t="s">
        <v>129</v>
      </c>
      <c r="D84" s="49" t="s">
        <v>207</v>
      </c>
      <c r="E84" s="16">
        <v>6</v>
      </c>
      <c r="F84" s="64">
        <v>5562</v>
      </c>
      <c r="G84" s="46">
        <v>73</v>
      </c>
      <c r="H84" s="391"/>
      <c r="I84" s="262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79"/>
      <c r="Z84" s="491"/>
      <c r="AA84" s="491"/>
      <c r="AB84" s="491"/>
      <c r="AC84" s="417"/>
      <c r="AD84" s="37"/>
      <c r="AE84" s="37"/>
      <c r="AF84" s="379">
        <v>752</v>
      </c>
      <c r="AG84" s="379">
        <v>2115</v>
      </c>
      <c r="AH84" s="375">
        <v>2334</v>
      </c>
      <c r="AI84" s="375">
        <v>1102</v>
      </c>
      <c r="AJ84" s="396">
        <f>6372-AI84-AH84-AG84-AF84</f>
        <v>69</v>
      </c>
      <c r="AK84" s="123">
        <f t="shared" si="4"/>
        <v>6372</v>
      </c>
      <c r="AL84" s="377"/>
      <c r="AM84" s="115" t="s">
        <v>317</v>
      </c>
      <c r="AN84" s="72"/>
      <c r="AO84" s="72"/>
      <c r="AP84" s="72"/>
      <c r="AQ84" s="72"/>
      <c r="AR84" s="72"/>
    </row>
    <row r="85" spans="1:45" s="45" customFormat="1" ht="13.5" thickBot="1">
      <c r="A85" s="197">
        <v>85</v>
      </c>
      <c r="B85" s="496" t="s">
        <v>394</v>
      </c>
      <c r="C85" s="367" t="s">
        <v>129</v>
      </c>
      <c r="D85" s="424" t="s">
        <v>74</v>
      </c>
      <c r="E85" s="64">
        <v>12</v>
      </c>
      <c r="F85" s="64">
        <f>5562*2</f>
        <v>11124</v>
      </c>
      <c r="G85" s="154">
        <v>170</v>
      </c>
      <c r="H85" s="488"/>
      <c r="I85" s="489"/>
      <c r="J85" s="17"/>
      <c r="K85" s="17"/>
      <c r="L85" s="17"/>
      <c r="M85" s="17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423"/>
      <c r="AE85" s="430"/>
      <c r="AF85" s="431">
        <f>10-AG85</f>
        <v>5</v>
      </c>
      <c r="AG85" s="432">
        <v>5</v>
      </c>
      <c r="AH85" s="433"/>
      <c r="AI85" s="433"/>
      <c r="AJ85" s="434"/>
      <c r="AK85" s="123">
        <f>SUM(I85:AJ85)</f>
        <v>10</v>
      </c>
      <c r="AL85" s="377"/>
      <c r="AM85" s="114" t="s">
        <v>71</v>
      </c>
      <c r="AN85" s="72"/>
      <c r="AO85" s="72"/>
      <c r="AP85" s="72"/>
      <c r="AQ85" s="72"/>
      <c r="AR85" s="72"/>
      <c r="AS85" s="1"/>
    </row>
    <row r="86" spans="1:44" ht="12.75">
      <c r="A86" s="414">
        <v>86</v>
      </c>
      <c r="B86" s="307" t="s">
        <v>395</v>
      </c>
      <c r="C86" s="21" t="s">
        <v>118</v>
      </c>
      <c r="D86" s="49">
        <v>3</v>
      </c>
      <c r="E86" s="8">
        <v>4</v>
      </c>
      <c r="F86" s="144">
        <v>4400</v>
      </c>
      <c r="G86" s="7">
        <v>35</v>
      </c>
      <c r="H86" s="470"/>
      <c r="I86" s="261"/>
      <c r="J86" s="31"/>
      <c r="K86" s="31"/>
      <c r="L86" s="31"/>
      <c r="M86" s="31"/>
      <c r="N86" s="333">
        <v>3</v>
      </c>
      <c r="O86" s="333">
        <v>27</v>
      </c>
      <c r="P86" s="333">
        <v>65</v>
      </c>
      <c r="Q86" s="333">
        <v>65</v>
      </c>
      <c r="R86" s="18"/>
      <c r="S86" s="18"/>
      <c r="T86" s="18"/>
      <c r="U86" s="31"/>
      <c r="V86" s="31"/>
      <c r="W86" s="31"/>
      <c r="X86" s="31"/>
      <c r="Y86" s="31"/>
      <c r="Z86" s="31"/>
      <c r="AA86" s="31"/>
      <c r="AB86" s="31"/>
      <c r="AC86" s="490"/>
      <c r="AD86" s="6"/>
      <c r="AE86" s="6"/>
      <c r="AF86" s="31"/>
      <c r="AG86" s="31"/>
      <c r="AH86" s="31"/>
      <c r="AI86" s="31"/>
      <c r="AJ86" s="223"/>
      <c r="AK86" s="123">
        <f t="shared" si="4"/>
        <v>160</v>
      </c>
      <c r="AL86" s="376"/>
      <c r="AM86" s="111" t="s">
        <v>303</v>
      </c>
      <c r="AN86" s="72"/>
      <c r="AO86" s="72"/>
      <c r="AP86" s="72"/>
      <c r="AQ86" s="72"/>
      <c r="AR86" s="72"/>
    </row>
    <row r="87" spans="1:44" ht="12.75">
      <c r="A87" s="197">
        <v>87</v>
      </c>
      <c r="B87" s="306" t="s">
        <v>396</v>
      </c>
      <c r="C87" s="21" t="s">
        <v>118</v>
      </c>
      <c r="D87" s="49">
        <v>3.5</v>
      </c>
      <c r="E87" s="16">
        <v>6</v>
      </c>
      <c r="F87" s="64">
        <v>7075</v>
      </c>
      <c r="G87" s="14">
        <v>70</v>
      </c>
      <c r="H87" s="471"/>
      <c r="I87" s="259"/>
      <c r="J87" s="18"/>
      <c r="K87" s="18"/>
      <c r="L87" s="18"/>
      <c r="M87" s="18"/>
      <c r="N87" s="18"/>
      <c r="O87" s="18"/>
      <c r="P87" s="18"/>
      <c r="Q87" s="17">
        <v>28</v>
      </c>
      <c r="R87" s="17">
        <v>109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5"/>
      <c r="AE87" s="5"/>
      <c r="AF87" s="18"/>
      <c r="AG87" s="18"/>
      <c r="AH87" s="18"/>
      <c r="AI87" s="18"/>
      <c r="AJ87" s="225"/>
      <c r="AK87" s="123">
        <f t="shared" si="4"/>
        <v>137</v>
      </c>
      <c r="AL87" s="376">
        <v>137</v>
      </c>
      <c r="AM87" s="111" t="s">
        <v>274</v>
      </c>
      <c r="AN87" s="72"/>
      <c r="AO87" s="72"/>
      <c r="AP87" s="72"/>
      <c r="AQ87" s="72"/>
      <c r="AR87" s="72"/>
    </row>
    <row r="88" spans="1:44" ht="12.75">
      <c r="A88" s="414">
        <v>88</v>
      </c>
      <c r="B88" s="306" t="s">
        <v>397</v>
      </c>
      <c r="C88" s="21" t="s">
        <v>118</v>
      </c>
      <c r="D88" s="49">
        <v>5</v>
      </c>
      <c r="E88" s="38">
        <v>6</v>
      </c>
      <c r="F88" s="64">
        <v>7020</v>
      </c>
      <c r="G88" s="46">
        <v>93.5</v>
      </c>
      <c r="H88" s="380"/>
      <c r="I88" s="380"/>
      <c r="J88" s="381"/>
      <c r="K88" s="381"/>
      <c r="L88" s="381"/>
      <c r="M88" s="381"/>
      <c r="N88" s="381"/>
      <c r="O88" s="381"/>
      <c r="P88" s="381"/>
      <c r="Q88" s="381"/>
      <c r="R88" s="381">
        <f>129+17</f>
        <v>146</v>
      </c>
      <c r="S88" s="381">
        <f>727+69</f>
        <v>796</v>
      </c>
      <c r="T88" s="381">
        <f>982+50</f>
        <v>1032</v>
      </c>
      <c r="U88" s="381">
        <v>346</v>
      </c>
      <c r="V88" s="381">
        <f>5+31</f>
        <v>36</v>
      </c>
      <c r="W88" s="381"/>
      <c r="X88" s="25"/>
      <c r="Y88" s="25"/>
      <c r="Z88" s="25"/>
      <c r="AA88" s="25"/>
      <c r="AB88" s="25"/>
      <c r="AC88" s="25"/>
      <c r="AD88" s="4"/>
      <c r="AE88" s="4"/>
      <c r="AF88" s="25"/>
      <c r="AG88" s="25"/>
      <c r="AH88" s="25"/>
      <c r="AI88" s="25"/>
      <c r="AJ88" s="231"/>
      <c r="AK88" s="123">
        <f t="shared" si="4"/>
        <v>2356</v>
      </c>
      <c r="AL88" s="377">
        <v>2273</v>
      </c>
      <c r="AM88" s="115" t="s">
        <v>302</v>
      </c>
      <c r="AN88" s="72"/>
      <c r="AO88" s="72"/>
      <c r="AP88" s="72"/>
      <c r="AQ88" s="72"/>
      <c r="AR88" s="72"/>
    </row>
    <row r="89" spans="1:44" ht="12.75">
      <c r="A89" s="197">
        <v>89</v>
      </c>
      <c r="B89" s="306" t="s">
        <v>398</v>
      </c>
      <c r="C89" s="21" t="s">
        <v>118</v>
      </c>
      <c r="D89" s="49" t="s">
        <v>73</v>
      </c>
      <c r="E89" s="38">
        <v>6</v>
      </c>
      <c r="F89" s="64">
        <v>7020</v>
      </c>
      <c r="G89" s="46">
        <v>93.5</v>
      </c>
      <c r="H89" s="380"/>
      <c r="I89" s="380"/>
      <c r="J89" s="381"/>
      <c r="K89" s="381"/>
      <c r="L89" s="381"/>
      <c r="M89" s="381"/>
      <c r="N89" s="381"/>
      <c r="O89" s="381"/>
      <c r="P89" s="381"/>
      <c r="Q89" s="381"/>
      <c r="R89" s="381"/>
      <c r="S89" s="381">
        <v>39</v>
      </c>
      <c r="T89" s="381">
        <v>80</v>
      </c>
      <c r="U89" s="381">
        <v>148</v>
      </c>
      <c r="V89" s="25"/>
      <c r="W89" s="25"/>
      <c r="X89" s="25"/>
      <c r="Y89" s="25"/>
      <c r="Z89" s="25"/>
      <c r="AA89" s="25"/>
      <c r="AB89" s="25"/>
      <c r="AC89" s="25"/>
      <c r="AD89" s="4"/>
      <c r="AE89" s="4"/>
      <c r="AF89" s="25"/>
      <c r="AG89" s="25"/>
      <c r="AH89" s="25"/>
      <c r="AI89" s="25"/>
      <c r="AJ89" s="231"/>
      <c r="AK89" s="123">
        <f t="shared" si="4"/>
        <v>267</v>
      </c>
      <c r="AL89" s="377">
        <v>364</v>
      </c>
      <c r="AM89" s="115"/>
      <c r="AN89" s="72"/>
      <c r="AO89" s="72"/>
      <c r="AP89" s="72"/>
      <c r="AQ89" s="72"/>
      <c r="AR89" s="72"/>
    </row>
    <row r="90" spans="1:44" ht="12.75">
      <c r="A90" s="414">
        <v>90</v>
      </c>
      <c r="B90" s="306" t="s">
        <v>399</v>
      </c>
      <c r="C90" s="15" t="s">
        <v>118</v>
      </c>
      <c r="D90" s="49">
        <v>8</v>
      </c>
      <c r="E90" s="38">
        <v>6</v>
      </c>
      <c r="F90" s="64">
        <v>7020</v>
      </c>
      <c r="G90" s="46">
        <v>93.5</v>
      </c>
      <c r="H90" s="380"/>
      <c r="I90" s="380"/>
      <c r="J90" s="381"/>
      <c r="K90" s="381"/>
      <c r="L90" s="381"/>
      <c r="M90" s="381"/>
      <c r="N90" s="381"/>
      <c r="O90" s="381"/>
      <c r="P90" s="381"/>
      <c r="Q90" s="381"/>
      <c r="R90" s="25"/>
      <c r="S90" s="25"/>
      <c r="T90" s="18">
        <v>1</v>
      </c>
      <c r="U90" s="375">
        <v>35</v>
      </c>
      <c r="V90" s="375">
        <f>65+13</f>
        <v>78</v>
      </c>
      <c r="W90" s="375">
        <f>38+12</f>
        <v>50</v>
      </c>
      <c r="X90" s="25">
        <v>15</v>
      </c>
      <c r="Y90" s="25">
        <v>75</v>
      </c>
      <c r="Z90" s="25">
        <v>18</v>
      </c>
      <c r="AA90" s="25">
        <f>11+16</f>
        <v>27</v>
      </c>
      <c r="AB90" s="25">
        <v>26</v>
      </c>
      <c r="AC90" s="25">
        <v>8</v>
      </c>
      <c r="AD90" s="47"/>
      <c r="AE90" s="47"/>
      <c r="AF90" s="25"/>
      <c r="AG90" s="25"/>
      <c r="AH90" s="25"/>
      <c r="AI90" s="25"/>
      <c r="AJ90" s="231"/>
      <c r="AK90" s="123">
        <f>SUM(I90:AJ90)</f>
        <v>333</v>
      </c>
      <c r="AL90" s="377">
        <v>333</v>
      </c>
      <c r="AM90" s="115" t="s">
        <v>270</v>
      </c>
      <c r="AN90" s="72"/>
      <c r="AO90" s="72"/>
      <c r="AP90" s="72"/>
      <c r="AQ90" s="72"/>
      <c r="AR90" s="72"/>
    </row>
    <row r="91" spans="1:44" ht="12.75">
      <c r="A91" s="197">
        <v>91</v>
      </c>
      <c r="B91" s="306" t="s">
        <v>400</v>
      </c>
      <c r="C91" s="21" t="s">
        <v>118</v>
      </c>
      <c r="D91" s="49">
        <v>5</v>
      </c>
      <c r="E91" s="38">
        <v>6</v>
      </c>
      <c r="F91" s="64">
        <v>4889</v>
      </c>
      <c r="G91" s="46">
        <v>66</v>
      </c>
      <c r="H91" s="380"/>
      <c r="I91" s="380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>
        <f>647+41</f>
        <v>688</v>
      </c>
      <c r="V91" s="381">
        <f>1678+244</f>
        <v>1922</v>
      </c>
      <c r="W91" s="381">
        <f>83</f>
        <v>83</v>
      </c>
      <c r="X91" s="381"/>
      <c r="Y91" s="381"/>
      <c r="Z91" s="381"/>
      <c r="AA91" s="381"/>
      <c r="AB91" s="381"/>
      <c r="AC91" s="381"/>
      <c r="AD91" s="4"/>
      <c r="AE91" s="4"/>
      <c r="AF91" s="25"/>
      <c r="AG91" s="25"/>
      <c r="AH91" s="25"/>
      <c r="AI91" s="25"/>
      <c r="AJ91" s="231"/>
      <c r="AK91" s="123">
        <f t="shared" si="4"/>
        <v>2693</v>
      </c>
      <c r="AL91" s="377"/>
      <c r="AM91" s="115"/>
      <c r="AN91" s="72"/>
      <c r="AO91" s="72"/>
      <c r="AP91" s="72"/>
      <c r="AQ91" s="72"/>
      <c r="AR91" s="72"/>
    </row>
    <row r="92" spans="1:44" ht="12.75">
      <c r="A92" s="414">
        <v>92</v>
      </c>
      <c r="B92" s="306" t="s">
        <v>401</v>
      </c>
      <c r="C92" s="21" t="s">
        <v>118</v>
      </c>
      <c r="D92" s="49">
        <v>5</v>
      </c>
      <c r="E92" s="38">
        <v>6</v>
      </c>
      <c r="F92" s="64">
        <v>5562</v>
      </c>
      <c r="G92" s="46">
        <v>73</v>
      </c>
      <c r="H92" s="380"/>
      <c r="I92" s="380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>
        <f>2132+235</f>
        <v>2367</v>
      </c>
      <c r="X92" s="381">
        <f>2076+195</f>
        <v>2271</v>
      </c>
      <c r="Y92" s="381">
        <f>613+95</f>
        <v>708</v>
      </c>
      <c r="Z92" s="381"/>
      <c r="AA92" s="381"/>
      <c r="AB92" s="381"/>
      <c r="AC92" s="381"/>
      <c r="AD92" s="4"/>
      <c r="AE92" s="4"/>
      <c r="AF92" s="25"/>
      <c r="AG92" s="25"/>
      <c r="AH92" s="25"/>
      <c r="AI92" s="25"/>
      <c r="AJ92" s="231"/>
      <c r="AK92" s="123">
        <f t="shared" si="4"/>
        <v>5346</v>
      </c>
      <c r="AL92" s="377"/>
      <c r="AM92" s="115" t="s">
        <v>307</v>
      </c>
      <c r="AN92" s="72"/>
      <c r="AO92" s="72"/>
      <c r="AP92" s="72"/>
      <c r="AQ92" s="72"/>
      <c r="AR92" s="72"/>
    </row>
    <row r="93" spans="1:44" ht="12.75">
      <c r="A93" s="197">
        <v>93</v>
      </c>
      <c r="B93" s="13" t="s">
        <v>281</v>
      </c>
      <c r="C93" s="21" t="s">
        <v>118</v>
      </c>
      <c r="D93" s="49">
        <v>5</v>
      </c>
      <c r="E93" s="38">
        <v>6</v>
      </c>
      <c r="F93" s="64">
        <v>5562</v>
      </c>
      <c r="G93" s="46">
        <v>73</v>
      </c>
      <c r="H93" s="391"/>
      <c r="I93" s="262"/>
      <c r="J93" s="25"/>
      <c r="K93" s="25"/>
      <c r="L93" s="25"/>
      <c r="M93" s="25"/>
      <c r="N93" s="25"/>
      <c r="O93" s="25"/>
      <c r="P93" s="25"/>
      <c r="Q93" s="375"/>
      <c r="R93" s="375"/>
      <c r="S93" s="25"/>
      <c r="T93" s="25"/>
      <c r="U93" s="25"/>
      <c r="V93" s="25"/>
      <c r="W93" s="25"/>
      <c r="X93" s="25">
        <v>261</v>
      </c>
      <c r="Y93" s="25">
        <v>312</v>
      </c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390"/>
      <c r="AK93" s="123">
        <f t="shared" si="4"/>
        <v>573</v>
      </c>
      <c r="AL93" s="377"/>
      <c r="AM93" s="115"/>
      <c r="AN93" s="72"/>
      <c r="AO93" s="72"/>
      <c r="AP93" s="72"/>
      <c r="AQ93" s="72"/>
      <c r="AR93" s="72"/>
    </row>
    <row r="94" spans="1:44" ht="12.75">
      <c r="A94" s="414">
        <v>94</v>
      </c>
      <c r="B94" s="306" t="s">
        <v>402</v>
      </c>
      <c r="C94" s="21" t="s">
        <v>118</v>
      </c>
      <c r="D94" s="49">
        <v>5</v>
      </c>
      <c r="E94" s="38">
        <v>6</v>
      </c>
      <c r="F94" s="64">
        <v>5562</v>
      </c>
      <c r="G94" s="46">
        <v>73</v>
      </c>
      <c r="H94" s="380"/>
      <c r="I94" s="380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>
        <v>16</v>
      </c>
      <c r="X94" s="381"/>
      <c r="Y94" s="381"/>
      <c r="Z94" s="381"/>
      <c r="AA94" s="381"/>
      <c r="AB94" s="381"/>
      <c r="AC94" s="381"/>
      <c r="AD94" s="4"/>
      <c r="AE94" s="4"/>
      <c r="AF94" s="25"/>
      <c r="AG94" s="25"/>
      <c r="AH94" s="25"/>
      <c r="AI94" s="25"/>
      <c r="AJ94" s="231"/>
      <c r="AK94" s="123">
        <f t="shared" si="4"/>
        <v>16</v>
      </c>
      <c r="AL94" s="377"/>
      <c r="AM94" s="115" t="s">
        <v>305</v>
      </c>
      <c r="AN94" s="72"/>
      <c r="AO94" s="72"/>
      <c r="AP94" s="72"/>
      <c r="AQ94" s="72"/>
      <c r="AR94" s="72"/>
    </row>
    <row r="95" spans="1:44" ht="12.75">
      <c r="A95" s="197">
        <v>95</v>
      </c>
      <c r="B95" s="306" t="s">
        <v>403</v>
      </c>
      <c r="C95" s="21" t="s">
        <v>118</v>
      </c>
      <c r="D95" s="49">
        <v>5</v>
      </c>
      <c r="E95" s="38">
        <v>6</v>
      </c>
      <c r="F95" s="64">
        <v>5562</v>
      </c>
      <c r="G95" s="46">
        <v>73</v>
      </c>
      <c r="H95" s="380"/>
      <c r="I95" s="380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>
        <f>366+428</f>
        <v>794</v>
      </c>
      <c r="Z95" s="381">
        <f>1083+431</f>
        <v>1514</v>
      </c>
      <c r="AA95" s="381">
        <f>863+423</f>
        <v>1286</v>
      </c>
      <c r="AB95" s="381">
        <f>1090+423</f>
        <v>1513</v>
      </c>
      <c r="AC95" s="381">
        <f>1340+330+15</f>
        <v>1685</v>
      </c>
      <c r="AD95" s="385">
        <f>1036+138+19-AE95</f>
        <v>943</v>
      </c>
      <c r="AE95" s="384">
        <v>250</v>
      </c>
      <c r="AF95" s="381">
        <f>52+63</f>
        <v>115</v>
      </c>
      <c r="AG95" s="25">
        <f>23</f>
        <v>23</v>
      </c>
      <c r="AH95" s="25"/>
      <c r="AI95" s="25"/>
      <c r="AJ95" s="231"/>
      <c r="AK95" s="123">
        <f t="shared" si="4"/>
        <v>8123</v>
      </c>
      <c r="AL95" s="122"/>
      <c r="AM95" s="115" t="s">
        <v>308</v>
      </c>
      <c r="AN95" s="72"/>
      <c r="AO95" s="72"/>
      <c r="AP95" s="72"/>
      <c r="AQ95" s="72"/>
      <c r="AR95" s="72"/>
    </row>
    <row r="96" spans="1:44" ht="12.75">
      <c r="A96" s="414">
        <v>96</v>
      </c>
      <c r="B96" s="13" t="s">
        <v>404</v>
      </c>
      <c r="C96" s="21" t="s">
        <v>118</v>
      </c>
      <c r="D96" s="49">
        <v>5</v>
      </c>
      <c r="E96" s="38">
        <v>6</v>
      </c>
      <c r="F96" s="64">
        <v>5562</v>
      </c>
      <c r="G96" s="46">
        <v>73</v>
      </c>
      <c r="H96" s="380"/>
      <c r="I96" s="380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>
        <v>406</v>
      </c>
      <c r="Z96" s="381">
        <v>1006</v>
      </c>
      <c r="AA96" s="381">
        <v>826</v>
      </c>
      <c r="AB96" s="381">
        <v>737</v>
      </c>
      <c r="AC96" s="381">
        <v>752</v>
      </c>
      <c r="AD96" s="392">
        <f>1037-AE96</f>
        <v>807</v>
      </c>
      <c r="AE96" s="393">
        <v>230</v>
      </c>
      <c r="AF96" s="381">
        <v>1</v>
      </c>
      <c r="AG96" s="25"/>
      <c r="AH96" s="25"/>
      <c r="AI96" s="25"/>
      <c r="AJ96" s="231"/>
      <c r="AK96" s="123">
        <f t="shared" si="4"/>
        <v>4765</v>
      </c>
      <c r="AL96" s="122"/>
      <c r="AM96" s="115" t="s">
        <v>306</v>
      </c>
      <c r="AN96" s="72"/>
      <c r="AO96" s="72"/>
      <c r="AP96" s="72"/>
      <c r="AQ96" s="72"/>
      <c r="AR96" s="72"/>
    </row>
    <row r="97" spans="1:44" ht="12.75">
      <c r="A97" s="197">
        <v>97</v>
      </c>
      <c r="B97" s="306" t="s">
        <v>405</v>
      </c>
      <c r="C97" s="21" t="s">
        <v>118</v>
      </c>
      <c r="D97" s="49">
        <v>5</v>
      </c>
      <c r="E97" s="38">
        <v>6</v>
      </c>
      <c r="F97" s="64"/>
      <c r="G97" s="46"/>
      <c r="H97" s="380"/>
      <c r="I97" s="380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>
        <v>4</v>
      </c>
      <c r="AG97" s="381"/>
      <c r="AH97" s="25"/>
      <c r="AI97" s="25"/>
      <c r="AJ97" s="231"/>
      <c r="AK97" s="123">
        <f t="shared" si="4"/>
        <v>4</v>
      </c>
      <c r="AL97" s="122"/>
      <c r="AM97" s="115"/>
      <c r="AN97" s="72"/>
      <c r="AO97" s="72"/>
      <c r="AP97" s="72"/>
      <c r="AQ97" s="72"/>
      <c r="AR97" s="72"/>
    </row>
    <row r="98" spans="1:44" ht="12.75">
      <c r="A98" s="414">
        <v>98</v>
      </c>
      <c r="B98" s="13"/>
      <c r="C98" s="15"/>
      <c r="D98" s="49"/>
      <c r="E98" s="15"/>
      <c r="F98" s="16"/>
      <c r="G98" s="14"/>
      <c r="H98" s="382"/>
      <c r="I98" s="382"/>
      <c r="J98" s="383"/>
      <c r="K98" s="383"/>
      <c r="L98" s="383"/>
      <c r="M98" s="383"/>
      <c r="N98" s="383"/>
      <c r="O98" s="383"/>
      <c r="P98" s="383"/>
      <c r="Q98" s="383"/>
      <c r="R98" s="18"/>
      <c r="S98" s="18"/>
      <c r="T98" s="466"/>
      <c r="U98" s="18"/>
      <c r="V98" s="18"/>
      <c r="W98" s="18"/>
      <c r="X98" s="18"/>
      <c r="Y98" s="18"/>
      <c r="Z98" s="18"/>
      <c r="AA98" s="18"/>
      <c r="AB98" s="18"/>
      <c r="AC98" s="18"/>
      <c r="AD98" s="5"/>
      <c r="AE98" s="5"/>
      <c r="AF98" s="18"/>
      <c r="AG98" s="18"/>
      <c r="AH98" s="18"/>
      <c r="AI98" s="18"/>
      <c r="AJ98" s="225"/>
      <c r="AK98" s="123">
        <f t="shared" si="4"/>
        <v>0</v>
      </c>
      <c r="AL98" s="125"/>
      <c r="AM98" s="111"/>
      <c r="AN98" s="78"/>
      <c r="AO98" s="78"/>
      <c r="AP98" s="78"/>
      <c r="AQ98" s="78"/>
      <c r="AR98" s="78"/>
    </row>
    <row r="99" spans="1:45" ht="12.75">
      <c r="A99" s="197">
        <v>99</v>
      </c>
      <c r="B99" s="98" t="s">
        <v>9</v>
      </c>
      <c r="C99" s="101" t="s">
        <v>101</v>
      </c>
      <c r="D99" s="159" t="s">
        <v>93</v>
      </c>
      <c r="E99" s="88"/>
      <c r="F99" s="89"/>
      <c r="G99" s="90"/>
      <c r="H99" s="91">
        <v>0</v>
      </c>
      <c r="I99" s="91">
        <f aca="true" t="shared" si="8" ref="I99:AJ99">SUM(I38:I98)-I57-I58</f>
        <v>0</v>
      </c>
      <c r="J99" s="91">
        <f t="shared" si="8"/>
        <v>0</v>
      </c>
      <c r="K99" s="91">
        <f t="shared" si="8"/>
        <v>0</v>
      </c>
      <c r="L99" s="91">
        <f t="shared" si="8"/>
        <v>0</v>
      </c>
      <c r="M99" s="91">
        <f t="shared" si="8"/>
        <v>10</v>
      </c>
      <c r="N99" s="91">
        <f t="shared" si="8"/>
        <v>116</v>
      </c>
      <c r="O99" s="91">
        <f t="shared" si="8"/>
        <v>369</v>
      </c>
      <c r="P99" s="91">
        <f t="shared" si="8"/>
        <v>472</v>
      </c>
      <c r="Q99" s="91">
        <f t="shared" si="8"/>
        <v>785</v>
      </c>
      <c r="R99" s="91">
        <f t="shared" si="8"/>
        <v>1548</v>
      </c>
      <c r="S99" s="91">
        <f t="shared" si="8"/>
        <v>4061</v>
      </c>
      <c r="T99" s="91">
        <f t="shared" si="8"/>
        <v>3971</v>
      </c>
      <c r="U99" s="91">
        <f t="shared" si="8"/>
        <v>23379</v>
      </c>
      <c r="V99" s="91">
        <f t="shared" si="8"/>
        <v>39283</v>
      </c>
      <c r="W99" s="91">
        <f t="shared" si="8"/>
        <v>55765</v>
      </c>
      <c r="X99" s="91">
        <f t="shared" si="8"/>
        <v>77241</v>
      </c>
      <c r="Y99" s="91">
        <f t="shared" si="8"/>
        <v>132273</v>
      </c>
      <c r="Z99" s="91">
        <f t="shared" si="8"/>
        <v>181190</v>
      </c>
      <c r="AA99" s="91">
        <f t="shared" si="8"/>
        <v>183789</v>
      </c>
      <c r="AB99" s="91">
        <f t="shared" si="8"/>
        <v>175209</v>
      </c>
      <c r="AC99" s="91">
        <f t="shared" si="8"/>
        <v>138365</v>
      </c>
      <c r="AD99" s="91">
        <f t="shared" si="8"/>
        <v>85201</v>
      </c>
      <c r="AE99" s="91">
        <f t="shared" si="8"/>
        <v>34002</v>
      </c>
      <c r="AF99" s="91">
        <f t="shared" si="8"/>
        <v>32114</v>
      </c>
      <c r="AG99" s="91">
        <f t="shared" si="8"/>
        <v>46304</v>
      </c>
      <c r="AH99" s="91">
        <f t="shared" si="8"/>
        <v>55317</v>
      </c>
      <c r="AI99" s="91">
        <f t="shared" si="8"/>
        <v>69627</v>
      </c>
      <c r="AJ99" s="91">
        <f t="shared" si="8"/>
        <v>94647</v>
      </c>
      <c r="AK99" s="126">
        <f t="shared" si="4"/>
        <v>1435038</v>
      </c>
      <c r="AL99" s="129"/>
      <c r="AM99" s="113" t="s">
        <v>72</v>
      </c>
      <c r="AN99" s="83"/>
      <c r="AO99" s="83"/>
      <c r="AP99" s="83"/>
      <c r="AQ99" s="83"/>
      <c r="AR99" s="83"/>
      <c r="AS99" s="71"/>
    </row>
    <row r="100" spans="1:44" ht="12.75">
      <c r="A100" s="414">
        <v>100</v>
      </c>
      <c r="B100" s="86" t="s">
        <v>102</v>
      </c>
      <c r="C100" s="101" t="s">
        <v>78</v>
      </c>
      <c r="D100" s="159" t="s">
        <v>96</v>
      </c>
      <c r="E100" s="84"/>
      <c r="F100" s="92"/>
      <c r="G100" s="85"/>
      <c r="H100" s="232"/>
      <c r="I100" s="93"/>
      <c r="J100" s="93"/>
      <c r="K100" s="93"/>
      <c r="L100" s="93"/>
      <c r="M100" s="93">
        <f aca="true" t="shared" si="9" ref="M100:AJ100">M102+M103</f>
        <v>10</v>
      </c>
      <c r="N100" s="93">
        <f t="shared" si="9"/>
        <v>16</v>
      </c>
      <c r="O100" s="93">
        <f t="shared" si="9"/>
        <v>366</v>
      </c>
      <c r="P100" s="93">
        <f t="shared" si="9"/>
        <v>475</v>
      </c>
      <c r="Q100" s="93">
        <f t="shared" si="9"/>
        <v>791</v>
      </c>
      <c r="R100" s="93">
        <f t="shared" si="9"/>
        <v>1556</v>
      </c>
      <c r="S100" s="93">
        <f t="shared" si="9"/>
        <v>4066</v>
      </c>
      <c r="T100" s="93">
        <f t="shared" si="9"/>
        <v>4005</v>
      </c>
      <c r="U100" s="93">
        <f t="shared" si="9"/>
        <v>23845</v>
      </c>
      <c r="V100" s="93">
        <f t="shared" si="9"/>
        <v>39451</v>
      </c>
      <c r="W100" s="93">
        <f t="shared" si="9"/>
        <v>55327</v>
      </c>
      <c r="X100" s="93">
        <f t="shared" si="9"/>
        <v>77747</v>
      </c>
      <c r="Y100" s="93">
        <f t="shared" si="9"/>
        <v>132723</v>
      </c>
      <c r="Z100" s="93">
        <f t="shared" si="9"/>
        <v>181607</v>
      </c>
      <c r="AA100" s="93">
        <f t="shared" si="9"/>
        <v>184128</v>
      </c>
      <c r="AB100" s="93">
        <f t="shared" si="9"/>
        <v>182040</v>
      </c>
      <c r="AC100" s="93">
        <f t="shared" si="9"/>
        <v>139879</v>
      </c>
      <c r="AD100" s="91">
        <f>AD102+AD103</f>
        <v>84700</v>
      </c>
      <c r="AE100" s="91">
        <f t="shared" si="9"/>
        <v>34004</v>
      </c>
      <c r="AF100" s="93">
        <f t="shared" si="9"/>
        <v>32449</v>
      </c>
      <c r="AG100" s="93">
        <f t="shared" si="9"/>
        <v>46720</v>
      </c>
      <c r="AH100" s="93">
        <f t="shared" si="9"/>
        <v>55167</v>
      </c>
      <c r="AI100" s="93">
        <f t="shared" si="9"/>
        <v>69662</v>
      </c>
      <c r="AJ100" s="107">
        <f t="shared" si="9"/>
        <v>95882</v>
      </c>
      <c r="AK100" s="126">
        <f t="shared" si="4"/>
        <v>1446616</v>
      </c>
      <c r="AL100" s="129"/>
      <c r="AM100" s="113" t="s">
        <v>115</v>
      </c>
      <c r="AN100" s="83"/>
      <c r="AO100" s="83"/>
      <c r="AP100" s="83"/>
      <c r="AQ100" s="83"/>
      <c r="AR100" s="83"/>
    </row>
    <row r="101" spans="1:44" ht="12.75">
      <c r="A101" s="197">
        <v>101</v>
      </c>
      <c r="B101" s="298" t="s">
        <v>63</v>
      </c>
      <c r="C101" s="207" t="s">
        <v>112</v>
      </c>
      <c r="D101" s="101"/>
      <c r="E101" s="101"/>
      <c r="F101" s="273"/>
      <c r="G101" s="102"/>
      <c r="H101" s="173"/>
      <c r="I101" s="182"/>
      <c r="J101" s="182"/>
      <c r="K101" s="182"/>
      <c r="L101" s="182"/>
      <c r="M101" s="182">
        <f aca="true" t="shared" si="10" ref="M101:AJ101">M100-M99</f>
        <v>0</v>
      </c>
      <c r="N101" s="182">
        <f t="shared" si="10"/>
        <v>-100</v>
      </c>
      <c r="O101" s="182">
        <f t="shared" si="10"/>
        <v>-3</v>
      </c>
      <c r="P101" s="182">
        <f t="shared" si="10"/>
        <v>3</v>
      </c>
      <c r="Q101" s="182">
        <f t="shared" si="10"/>
        <v>6</v>
      </c>
      <c r="R101" s="182">
        <f t="shared" si="10"/>
        <v>8</v>
      </c>
      <c r="S101" s="182">
        <f t="shared" si="10"/>
        <v>5</v>
      </c>
      <c r="T101" s="182">
        <f t="shared" si="10"/>
        <v>34</v>
      </c>
      <c r="U101" s="182">
        <f t="shared" si="10"/>
        <v>466</v>
      </c>
      <c r="V101" s="182">
        <f t="shared" si="10"/>
        <v>168</v>
      </c>
      <c r="W101" s="182">
        <f t="shared" si="10"/>
        <v>-438</v>
      </c>
      <c r="X101" s="182">
        <f t="shared" si="10"/>
        <v>506</v>
      </c>
      <c r="Y101" s="182">
        <f t="shared" si="10"/>
        <v>450</v>
      </c>
      <c r="Z101" s="182">
        <f t="shared" si="10"/>
        <v>417</v>
      </c>
      <c r="AA101" s="182">
        <f t="shared" si="10"/>
        <v>339</v>
      </c>
      <c r="AB101" s="182">
        <f t="shared" si="10"/>
        <v>6831</v>
      </c>
      <c r="AC101" s="182">
        <f t="shared" si="10"/>
        <v>1514</v>
      </c>
      <c r="AD101" s="182">
        <f t="shared" si="10"/>
        <v>-501</v>
      </c>
      <c r="AE101" s="182">
        <f t="shared" si="10"/>
        <v>2</v>
      </c>
      <c r="AF101" s="182">
        <f t="shared" si="10"/>
        <v>335</v>
      </c>
      <c r="AG101" s="182">
        <f t="shared" si="10"/>
        <v>416</v>
      </c>
      <c r="AH101" s="182">
        <f t="shared" si="10"/>
        <v>-150</v>
      </c>
      <c r="AI101" s="182">
        <f t="shared" si="10"/>
        <v>35</v>
      </c>
      <c r="AJ101" s="182">
        <f t="shared" si="10"/>
        <v>1235</v>
      </c>
      <c r="AK101" s="126">
        <f>SUM(I101:AJ101)</f>
        <v>11578</v>
      </c>
      <c r="AL101" s="127"/>
      <c r="AM101" s="121"/>
      <c r="AN101" s="183"/>
      <c r="AO101" s="183"/>
      <c r="AP101" s="183"/>
      <c r="AQ101" s="183"/>
      <c r="AR101" s="183"/>
    </row>
    <row r="102" spans="1:44" ht="12.75">
      <c r="A102" s="414">
        <v>102</v>
      </c>
      <c r="B102" s="289" t="s">
        <v>103</v>
      </c>
      <c r="C102" s="176" t="s">
        <v>78</v>
      </c>
      <c r="D102" s="177" t="s">
        <v>96</v>
      </c>
      <c r="E102" s="94"/>
      <c r="F102" s="178"/>
      <c r="G102" s="95"/>
      <c r="H102" s="233"/>
      <c r="I102" s="234"/>
      <c r="J102" s="235"/>
      <c r="K102" s="235"/>
      <c r="L102" s="235"/>
      <c r="M102" s="211">
        <v>10</v>
      </c>
      <c r="N102" s="211">
        <v>16</v>
      </c>
      <c r="O102" s="211">
        <v>366</v>
      </c>
      <c r="P102" s="211">
        <v>451</v>
      </c>
      <c r="Q102" s="211">
        <v>740</v>
      </c>
      <c r="R102" s="211">
        <v>1471</v>
      </c>
      <c r="S102" s="211">
        <v>4019</v>
      </c>
      <c r="T102" s="211">
        <v>3915</v>
      </c>
      <c r="U102" s="211">
        <v>23748</v>
      </c>
      <c r="V102" s="211">
        <v>39101</v>
      </c>
      <c r="W102" s="211">
        <v>54572</v>
      </c>
      <c r="X102" s="211">
        <v>76854</v>
      </c>
      <c r="Y102" s="212">
        <v>131460</v>
      </c>
      <c r="Z102" s="211">
        <v>180339</v>
      </c>
      <c r="AA102" s="211">
        <v>182373</v>
      </c>
      <c r="AB102" s="211">
        <v>178769</v>
      </c>
      <c r="AC102" s="211">
        <v>135958</v>
      </c>
      <c r="AD102" s="213">
        <v>81700</v>
      </c>
      <c r="AE102" s="214">
        <f>114677-AD102</f>
        <v>32977</v>
      </c>
      <c r="AF102" s="215">
        <v>30987</v>
      </c>
      <c r="AG102" s="211">
        <v>45545</v>
      </c>
      <c r="AH102" s="211">
        <v>53467</v>
      </c>
      <c r="AI102" s="211">
        <v>68548</v>
      </c>
      <c r="AJ102" s="216">
        <v>94572</v>
      </c>
      <c r="AK102" s="179">
        <f>SUM(I102:AJ102)</f>
        <v>1421958</v>
      </c>
      <c r="AL102" s="180"/>
      <c r="AM102" s="181" t="s">
        <v>116</v>
      </c>
      <c r="AN102" s="83"/>
      <c r="AO102" s="83"/>
      <c r="AP102" s="83"/>
      <c r="AQ102" s="83"/>
      <c r="AR102" s="83"/>
    </row>
    <row r="103" spans="1:44" ht="12.75">
      <c r="A103" s="197">
        <v>103</v>
      </c>
      <c r="B103" s="86" t="s">
        <v>104</v>
      </c>
      <c r="C103" s="101" t="s">
        <v>78</v>
      </c>
      <c r="D103" s="159" t="s">
        <v>96</v>
      </c>
      <c r="E103" s="84"/>
      <c r="F103" s="92"/>
      <c r="G103" s="85"/>
      <c r="H103" s="236"/>
      <c r="I103" s="237"/>
      <c r="J103" s="237"/>
      <c r="K103" s="237"/>
      <c r="L103" s="237"/>
      <c r="M103" s="93"/>
      <c r="N103" s="93"/>
      <c r="O103" s="93"/>
      <c r="P103" s="93">
        <v>24</v>
      </c>
      <c r="Q103" s="93">
        <v>51</v>
      </c>
      <c r="R103" s="93">
        <v>85</v>
      </c>
      <c r="S103" s="93">
        <v>47</v>
      </c>
      <c r="T103" s="93">
        <v>90</v>
      </c>
      <c r="U103" s="93">
        <v>97</v>
      </c>
      <c r="V103" s="93">
        <v>350</v>
      </c>
      <c r="W103" s="93">
        <v>755</v>
      </c>
      <c r="X103" s="93">
        <v>893</v>
      </c>
      <c r="Y103" s="93">
        <v>1263</v>
      </c>
      <c r="Z103" s="93">
        <v>1268</v>
      </c>
      <c r="AA103" s="93">
        <v>1755</v>
      </c>
      <c r="AB103" s="93">
        <v>3271</v>
      </c>
      <c r="AC103" s="93">
        <v>3921</v>
      </c>
      <c r="AD103" s="217">
        <v>3000</v>
      </c>
      <c r="AE103" s="218">
        <f>4027-AD103</f>
        <v>1027</v>
      </c>
      <c r="AF103" s="27">
        <v>1462</v>
      </c>
      <c r="AG103" s="27">
        <v>1175</v>
      </c>
      <c r="AH103" s="93">
        <v>1700</v>
      </c>
      <c r="AI103" s="93">
        <v>1114</v>
      </c>
      <c r="AJ103" s="105">
        <v>1310</v>
      </c>
      <c r="AK103" s="128">
        <f>SUM(I103:AJ103)</f>
        <v>24658</v>
      </c>
      <c r="AL103" s="129"/>
      <c r="AM103" s="113" t="s">
        <v>116</v>
      </c>
      <c r="AN103" s="83"/>
      <c r="AO103" s="83"/>
      <c r="AP103" s="83"/>
      <c r="AQ103" s="83"/>
      <c r="AR103" s="83"/>
    </row>
    <row r="104" spans="1:44" ht="12.75">
      <c r="A104" s="414">
        <v>104</v>
      </c>
      <c r="B104" s="521" t="s">
        <v>472</v>
      </c>
      <c r="C104" s="101" t="s">
        <v>78</v>
      </c>
      <c r="D104" s="159" t="s">
        <v>96</v>
      </c>
      <c r="E104" s="84"/>
      <c r="F104" s="92"/>
      <c r="G104" s="85"/>
      <c r="H104" s="236"/>
      <c r="I104" s="237"/>
      <c r="J104" s="237"/>
      <c r="K104" s="237"/>
      <c r="L104" s="237"/>
      <c r="M104" s="93"/>
      <c r="N104" s="93"/>
      <c r="O104" s="93"/>
      <c r="P104" s="93"/>
      <c r="Q104" s="93">
        <v>671</v>
      </c>
      <c r="R104" s="93">
        <v>1248</v>
      </c>
      <c r="S104" s="93">
        <v>3151</v>
      </c>
      <c r="T104" s="93">
        <v>4005</v>
      </c>
      <c r="U104" s="93">
        <v>23845</v>
      </c>
      <c r="V104" s="93">
        <v>39465</v>
      </c>
      <c r="W104" s="93">
        <v>55362</v>
      </c>
      <c r="X104" s="93">
        <v>77666</v>
      </c>
      <c r="Y104" s="93">
        <v>132917</v>
      </c>
      <c r="Z104" s="91">
        <v>181800</v>
      </c>
      <c r="AA104" s="93">
        <v>184400</v>
      </c>
      <c r="AB104" s="93"/>
      <c r="AC104" s="91">
        <v>126000</v>
      </c>
      <c r="AD104" s="91">
        <v>131000</v>
      </c>
      <c r="AE104" s="91"/>
      <c r="AF104" s="91"/>
      <c r="AG104" s="91"/>
      <c r="AH104" s="91"/>
      <c r="AI104" s="91">
        <v>85100</v>
      </c>
      <c r="AJ104" s="518">
        <v>117500</v>
      </c>
      <c r="AK104" s="128">
        <f>SUM(I104:AJ104)</f>
        <v>1164130</v>
      </c>
      <c r="AL104" s="129"/>
      <c r="AM104" s="519" t="s">
        <v>476</v>
      </c>
      <c r="AN104" s="183"/>
      <c r="AO104" s="183"/>
      <c r="AP104" s="183"/>
      <c r="AQ104" s="183"/>
      <c r="AR104" s="183"/>
    </row>
    <row r="105" spans="1:44" ht="12.75">
      <c r="A105" s="197">
        <v>105</v>
      </c>
      <c r="B105" s="521" t="s">
        <v>471</v>
      </c>
      <c r="C105" s="101" t="s">
        <v>78</v>
      </c>
      <c r="D105" s="159" t="s">
        <v>96</v>
      </c>
      <c r="E105" s="84"/>
      <c r="F105" s="92"/>
      <c r="G105" s="85"/>
      <c r="H105" s="236"/>
      <c r="I105" s="237"/>
      <c r="J105" s="237"/>
      <c r="K105" s="237"/>
      <c r="L105" s="237"/>
      <c r="M105" s="93"/>
      <c r="N105" s="93"/>
      <c r="O105" s="93"/>
      <c r="P105" s="93"/>
      <c r="Q105" s="93"/>
      <c r="R105" s="93">
        <v>39</v>
      </c>
      <c r="S105" s="93">
        <v>104</v>
      </c>
      <c r="T105" s="93">
        <v>456</v>
      </c>
      <c r="U105" s="93">
        <v>513</v>
      </c>
      <c r="V105" s="93">
        <v>268</v>
      </c>
      <c r="W105" s="93">
        <v>761</v>
      </c>
      <c r="X105" s="93">
        <v>801</v>
      </c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105"/>
      <c r="AK105" s="128">
        <f>SUM(I105:AJ105)</f>
        <v>2942</v>
      </c>
      <c r="AL105" s="129"/>
      <c r="AM105" s="520" t="s">
        <v>476</v>
      </c>
      <c r="AN105" s="286"/>
      <c r="AO105" s="286"/>
      <c r="AP105" s="286"/>
      <c r="AQ105" s="286"/>
      <c r="AR105" s="286"/>
    </row>
    <row r="106" spans="1:44" ht="13.5" thickBot="1">
      <c r="A106" s="414">
        <v>106</v>
      </c>
      <c r="B106" s="190" t="s">
        <v>80</v>
      </c>
      <c r="C106" s="145" t="s">
        <v>78</v>
      </c>
      <c r="D106" s="191" t="s">
        <v>93</v>
      </c>
      <c r="E106" s="145"/>
      <c r="F106" s="192"/>
      <c r="G106" s="146"/>
      <c r="H106" s="238"/>
      <c r="I106" s="239"/>
      <c r="J106" s="239"/>
      <c r="K106" s="239"/>
      <c r="L106" s="239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4">
        <v>30400</v>
      </c>
      <c r="AG106" s="194">
        <v>45600</v>
      </c>
      <c r="AH106" s="194">
        <v>52600</v>
      </c>
      <c r="AI106" s="194">
        <v>68500</v>
      </c>
      <c r="AJ106" s="240"/>
      <c r="AK106" s="147"/>
      <c r="AL106" s="148"/>
      <c r="AM106" s="149" t="s">
        <v>79</v>
      </c>
      <c r="AN106" s="150"/>
      <c r="AO106" s="150"/>
      <c r="AP106" s="150"/>
      <c r="AQ106" s="150"/>
      <c r="AR106" s="150"/>
    </row>
    <row r="107" spans="1:44" ht="13.5" thickBot="1">
      <c r="A107" s="197">
        <v>107</v>
      </c>
      <c r="B107" s="184" t="s">
        <v>8</v>
      </c>
      <c r="C107" s="184" t="s">
        <v>124</v>
      </c>
      <c r="D107" s="352" t="s">
        <v>7</v>
      </c>
      <c r="E107" s="351" t="s">
        <v>6</v>
      </c>
      <c r="F107" s="269" t="s">
        <v>5</v>
      </c>
      <c r="G107" s="186" t="s">
        <v>4</v>
      </c>
      <c r="H107" s="185">
        <v>19</v>
      </c>
      <c r="I107" s="185">
        <v>20</v>
      </c>
      <c r="J107" s="185">
        <v>21</v>
      </c>
      <c r="K107" s="185">
        <v>22</v>
      </c>
      <c r="L107" s="185">
        <v>23</v>
      </c>
      <c r="M107" s="185">
        <v>24</v>
      </c>
      <c r="N107" s="134">
        <v>1925</v>
      </c>
      <c r="O107" s="134">
        <v>1926</v>
      </c>
      <c r="P107" s="184">
        <v>1927</v>
      </c>
      <c r="Q107" s="184">
        <v>1928</v>
      </c>
      <c r="R107" s="184">
        <v>1929</v>
      </c>
      <c r="S107" s="184">
        <v>1930</v>
      </c>
      <c r="T107" s="184">
        <v>1931</v>
      </c>
      <c r="U107" s="184">
        <v>1932</v>
      </c>
      <c r="V107" s="184">
        <v>1933</v>
      </c>
      <c r="W107" s="184">
        <v>1934</v>
      </c>
      <c r="X107" s="184">
        <v>1935</v>
      </c>
      <c r="Y107" s="184">
        <v>1936</v>
      </c>
      <c r="Z107" s="184">
        <v>1937</v>
      </c>
      <c r="AA107" s="184">
        <v>1938</v>
      </c>
      <c r="AB107" s="184">
        <v>1939</v>
      </c>
      <c r="AC107" s="184">
        <v>1940</v>
      </c>
      <c r="AD107" s="184" t="s">
        <v>44</v>
      </c>
      <c r="AE107" s="184" t="s">
        <v>43</v>
      </c>
      <c r="AF107" s="184">
        <v>1942</v>
      </c>
      <c r="AG107" s="184">
        <v>1943</v>
      </c>
      <c r="AH107" s="184">
        <v>1944</v>
      </c>
      <c r="AI107" s="184">
        <v>1945</v>
      </c>
      <c r="AJ107" s="187">
        <v>1946</v>
      </c>
      <c r="AK107" s="281" t="s">
        <v>1</v>
      </c>
      <c r="AL107" s="282"/>
      <c r="AM107" s="188" t="s">
        <v>3</v>
      </c>
      <c r="AN107" s="189"/>
      <c r="AO107" s="189"/>
      <c r="AP107" s="189"/>
      <c r="AQ107" s="189"/>
      <c r="AR107" s="189"/>
    </row>
    <row r="108" spans="1:44" ht="12.75">
      <c r="A108" s="414">
        <v>108</v>
      </c>
      <c r="B108" s="165" t="s">
        <v>53</v>
      </c>
      <c r="C108" s="44"/>
      <c r="D108" s="44"/>
      <c r="E108" s="44"/>
      <c r="F108" s="8"/>
      <c r="G108" s="43"/>
      <c r="H108" s="241"/>
      <c r="I108" s="99"/>
      <c r="J108" s="33"/>
      <c r="K108" s="33"/>
      <c r="L108" s="33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08"/>
      <c r="AK108" s="133"/>
      <c r="AL108" s="124"/>
      <c r="AM108" s="116"/>
      <c r="AN108" s="100"/>
      <c r="AO108" s="100"/>
      <c r="AP108" s="100"/>
      <c r="AQ108" s="100"/>
      <c r="AR108" s="100"/>
    </row>
    <row r="109" spans="1:44" ht="12.75">
      <c r="A109" s="197">
        <v>109</v>
      </c>
      <c r="B109" s="492" t="s">
        <v>212</v>
      </c>
      <c r="C109" s="62" t="s">
        <v>211</v>
      </c>
      <c r="D109" s="62" t="s">
        <v>189</v>
      </c>
      <c r="E109" s="62">
        <v>2</v>
      </c>
      <c r="F109" s="64"/>
      <c r="G109" s="154">
        <v>16</v>
      </c>
      <c r="H109" s="242"/>
      <c r="I109" s="243"/>
      <c r="J109" s="17"/>
      <c r="K109" s="17"/>
      <c r="L109" s="244"/>
      <c r="M109" s="54">
        <v>5</v>
      </c>
      <c r="N109" s="58">
        <f>20-O109-M109</f>
        <v>10</v>
      </c>
      <c r="O109" s="54">
        <v>5</v>
      </c>
      <c r="P109" s="244"/>
      <c r="Q109" s="244"/>
      <c r="R109" s="244"/>
      <c r="S109" s="244"/>
      <c r="T109" s="244"/>
      <c r="U109" s="244"/>
      <c r="V109" s="24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245"/>
      <c r="AH109" s="245"/>
      <c r="AI109" s="245"/>
      <c r="AJ109" s="156"/>
      <c r="AK109" s="123">
        <f aca="true" t="shared" si="11" ref="AK109:AK118">SUM(I109:AJ109)</f>
        <v>20</v>
      </c>
      <c r="AL109" s="157"/>
      <c r="AM109" s="118" t="s">
        <v>359</v>
      </c>
      <c r="AN109" s="151"/>
      <c r="AO109" s="151"/>
      <c r="AP109" s="151"/>
      <c r="AQ109" s="151"/>
      <c r="AR109" s="151"/>
    </row>
    <row r="110" spans="1:44" ht="12.75">
      <c r="A110" s="414">
        <v>110</v>
      </c>
      <c r="B110" s="493" t="s">
        <v>213</v>
      </c>
      <c r="C110" s="62" t="s">
        <v>211</v>
      </c>
      <c r="D110" s="15" t="s">
        <v>189</v>
      </c>
      <c r="E110" s="15">
        <v>3</v>
      </c>
      <c r="F110" s="16">
        <v>13741</v>
      </c>
      <c r="G110" s="14">
        <v>12</v>
      </c>
      <c r="H110" s="51"/>
      <c r="I110" s="224"/>
      <c r="J110" s="41"/>
      <c r="K110" s="41"/>
      <c r="L110" s="28"/>
      <c r="M110" s="34">
        <v>2</v>
      </c>
      <c r="N110" s="34">
        <v>5</v>
      </c>
      <c r="O110" s="34">
        <v>5</v>
      </c>
      <c r="P110" s="34">
        <v>5</v>
      </c>
      <c r="Q110" s="34">
        <v>5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06"/>
      <c r="AK110" s="123">
        <f>SUM(I110:AJ110)</f>
        <v>22</v>
      </c>
      <c r="AL110" s="125"/>
      <c r="AM110" s="111" t="s">
        <v>360</v>
      </c>
      <c r="AN110" s="72"/>
      <c r="AO110" s="72"/>
      <c r="AP110" s="72"/>
      <c r="AQ110" s="72"/>
      <c r="AR110" s="72"/>
    </row>
    <row r="111" spans="1:44" ht="12.75">
      <c r="A111" s="197">
        <v>111</v>
      </c>
      <c r="B111" s="492" t="s">
        <v>224</v>
      </c>
      <c r="C111" s="62" t="s">
        <v>133</v>
      </c>
      <c r="D111" s="62" t="s">
        <v>189</v>
      </c>
      <c r="E111" s="62">
        <v>1</v>
      </c>
      <c r="F111" s="64" t="s">
        <v>100</v>
      </c>
      <c r="G111" s="154">
        <v>12</v>
      </c>
      <c r="H111" s="242"/>
      <c r="I111" s="243"/>
      <c r="J111" s="244"/>
      <c r="K111" s="244"/>
      <c r="L111" s="36">
        <v>1</v>
      </c>
      <c r="M111" s="36">
        <v>3</v>
      </c>
      <c r="N111" s="36">
        <v>100</v>
      </c>
      <c r="O111" s="36">
        <v>300</v>
      </c>
      <c r="P111" s="152">
        <f>500-O111-N111-M111-L111</f>
        <v>96</v>
      </c>
      <c r="Q111" s="34"/>
      <c r="R111" s="34"/>
      <c r="S111" s="34"/>
      <c r="T111" s="34"/>
      <c r="U111" s="34"/>
      <c r="V111" s="155"/>
      <c r="W111" s="34"/>
      <c r="X111" s="34"/>
      <c r="Y111" s="34"/>
      <c r="Z111" s="34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156"/>
      <c r="AK111" s="123">
        <f t="shared" si="11"/>
        <v>500</v>
      </c>
      <c r="AL111" s="157"/>
      <c r="AM111" s="118" t="s">
        <v>357</v>
      </c>
      <c r="AN111" s="151"/>
      <c r="AO111" s="151"/>
      <c r="AP111" s="151"/>
      <c r="AQ111" s="151"/>
      <c r="AR111" s="151"/>
    </row>
    <row r="112" spans="1:44" ht="12.75">
      <c r="A112" s="414">
        <v>112</v>
      </c>
      <c r="B112" s="492" t="s">
        <v>225</v>
      </c>
      <c r="C112" s="62" t="s">
        <v>123</v>
      </c>
      <c r="D112" s="62" t="s">
        <v>2</v>
      </c>
      <c r="E112" s="62">
        <v>2</v>
      </c>
      <c r="F112" s="64">
        <v>11341</v>
      </c>
      <c r="G112" s="154">
        <v>25</v>
      </c>
      <c r="H112" s="242"/>
      <c r="I112" s="243"/>
      <c r="J112" s="244"/>
      <c r="K112" s="40">
        <v>1</v>
      </c>
      <c r="L112" s="40">
        <v>70</v>
      </c>
      <c r="M112" s="40">
        <v>90</v>
      </c>
      <c r="N112" s="39">
        <f>206+25-M112-L112-K112</f>
        <v>70</v>
      </c>
      <c r="O112" s="40"/>
      <c r="P112" s="40"/>
      <c r="Q112" s="40"/>
      <c r="R112" s="39"/>
      <c r="S112" s="34"/>
      <c r="T112" s="34"/>
      <c r="U112" s="34"/>
      <c r="V112" s="155"/>
      <c r="W112" s="34"/>
      <c r="X112" s="34"/>
      <c r="Y112" s="34"/>
      <c r="Z112" s="34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156"/>
      <c r="AK112" s="123">
        <f t="shared" si="11"/>
        <v>231</v>
      </c>
      <c r="AL112" s="157"/>
      <c r="AM112" s="118" t="s">
        <v>363</v>
      </c>
      <c r="AN112" s="164"/>
      <c r="AO112" s="164"/>
      <c r="AP112" s="164"/>
      <c r="AQ112" s="164"/>
      <c r="AR112" s="164"/>
    </row>
    <row r="113" spans="1:45" s="45" customFormat="1" ht="12.75">
      <c r="A113" s="197">
        <v>113</v>
      </c>
      <c r="B113" s="494" t="s">
        <v>226</v>
      </c>
      <c r="C113" s="15" t="s">
        <v>127</v>
      </c>
      <c r="D113" s="15" t="s">
        <v>2</v>
      </c>
      <c r="E113" s="15">
        <v>4</v>
      </c>
      <c r="F113" s="64">
        <v>4120</v>
      </c>
      <c r="G113" s="35">
        <v>22.5</v>
      </c>
      <c r="H113" s="51"/>
      <c r="I113" s="224"/>
      <c r="J113" s="41"/>
      <c r="K113" s="41"/>
      <c r="L113" s="28"/>
      <c r="M113" s="17">
        <v>70</v>
      </c>
      <c r="N113" s="17">
        <v>85</v>
      </c>
      <c r="O113" s="265">
        <v>200</v>
      </c>
      <c r="P113" s="17">
        <v>388</v>
      </c>
      <c r="Q113" s="265">
        <v>775</v>
      </c>
      <c r="R113" s="265">
        <v>2500</v>
      </c>
      <c r="S113" s="265">
        <v>6200</v>
      </c>
      <c r="T113" s="265">
        <v>10000</v>
      </c>
      <c r="U113" s="265">
        <v>10000</v>
      </c>
      <c r="V113" s="17">
        <v>5882</v>
      </c>
      <c r="W113" s="5"/>
      <c r="X113" s="5"/>
      <c r="Y113" s="5"/>
      <c r="Z113" s="5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153"/>
      <c r="AK113" s="123">
        <f t="shared" si="11"/>
        <v>36100</v>
      </c>
      <c r="AL113" s="125"/>
      <c r="AM113" s="111" t="s">
        <v>269</v>
      </c>
      <c r="AN113" s="72"/>
      <c r="AO113" s="72"/>
      <c r="AP113" s="72"/>
      <c r="AQ113" s="72"/>
      <c r="AR113" s="72"/>
      <c r="AS113" s="1"/>
    </row>
    <row r="114" spans="1:45" s="45" customFormat="1" ht="12.75">
      <c r="A114" s="414">
        <v>114</v>
      </c>
      <c r="B114" s="494" t="s">
        <v>407</v>
      </c>
      <c r="C114" s="15" t="s">
        <v>127</v>
      </c>
      <c r="D114" s="15" t="s">
        <v>2</v>
      </c>
      <c r="E114" s="15">
        <v>4</v>
      </c>
      <c r="F114" s="64">
        <v>3602</v>
      </c>
      <c r="G114" s="35">
        <v>21</v>
      </c>
      <c r="H114" s="51"/>
      <c r="I114" s="224"/>
      <c r="J114" s="41"/>
      <c r="K114" s="41"/>
      <c r="L114" s="28"/>
      <c r="M114" s="246"/>
      <c r="N114" s="246"/>
      <c r="O114" s="246"/>
      <c r="P114" s="5"/>
      <c r="Q114" s="5"/>
      <c r="R114" s="5"/>
      <c r="S114" s="5"/>
      <c r="T114" s="5"/>
      <c r="U114" s="5"/>
      <c r="V114" s="5"/>
      <c r="W114" s="59">
        <v>3167</v>
      </c>
      <c r="X114" s="59">
        <v>12385</v>
      </c>
      <c r="Y114" s="59">
        <v>18486</v>
      </c>
      <c r="Z114" s="59">
        <v>17949</v>
      </c>
      <c r="AA114" s="40">
        <v>30000</v>
      </c>
      <c r="AB114" s="40">
        <v>24500</v>
      </c>
      <c r="AC114" s="39">
        <f>149000-AK113-AB114-AA114-Z114-Y114-X114-W114</f>
        <v>6413</v>
      </c>
      <c r="AD114" s="5"/>
      <c r="AE114" s="5"/>
      <c r="AF114" s="5"/>
      <c r="AG114" s="5"/>
      <c r="AH114" s="469"/>
      <c r="AI114" s="5"/>
      <c r="AJ114" s="106"/>
      <c r="AK114" s="123">
        <f t="shared" si="11"/>
        <v>112900</v>
      </c>
      <c r="AL114" s="125"/>
      <c r="AM114" s="111" t="s">
        <v>475</v>
      </c>
      <c r="AN114" s="78"/>
      <c r="AO114" s="78"/>
      <c r="AP114" s="78"/>
      <c r="AQ114" s="78"/>
      <c r="AR114" s="78"/>
      <c r="AS114" s="1"/>
    </row>
    <row r="115" spans="1:45" s="45" customFormat="1" ht="12.75">
      <c r="A115" s="197">
        <v>115</v>
      </c>
      <c r="B115" s="494" t="s">
        <v>407</v>
      </c>
      <c r="C115" s="77" t="s">
        <v>198</v>
      </c>
      <c r="D115" s="15" t="s">
        <v>2</v>
      </c>
      <c r="E115" s="15">
        <v>4</v>
      </c>
      <c r="F115" s="64">
        <v>3602</v>
      </c>
      <c r="G115" s="14">
        <v>20</v>
      </c>
      <c r="H115" s="247"/>
      <c r="I115" s="248"/>
      <c r="J115" s="249"/>
      <c r="K115" s="249"/>
      <c r="L115" s="250"/>
      <c r="M115" s="17"/>
      <c r="N115" s="17"/>
      <c r="O115" s="265"/>
      <c r="P115" s="17"/>
      <c r="Q115" s="3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37"/>
      <c r="AG115" s="37"/>
      <c r="AH115" s="37">
        <v>250</v>
      </c>
      <c r="AI115" s="5">
        <v>2000</v>
      </c>
      <c r="AJ115" s="106" t="s">
        <v>0</v>
      </c>
      <c r="AK115" s="123">
        <f t="shared" si="11"/>
        <v>2250</v>
      </c>
      <c r="AL115" s="130"/>
      <c r="AM115" s="163" t="s">
        <v>267</v>
      </c>
      <c r="AN115" s="72"/>
      <c r="AO115" s="72"/>
      <c r="AP115" s="72"/>
      <c r="AQ115" s="72"/>
      <c r="AR115" s="72"/>
      <c r="AS115" s="1"/>
    </row>
    <row r="116" spans="1:44" ht="12.75">
      <c r="A116" s="414">
        <v>116</v>
      </c>
      <c r="B116" s="494" t="s">
        <v>414</v>
      </c>
      <c r="C116" s="15" t="s">
        <v>120</v>
      </c>
      <c r="D116" s="15" t="s">
        <v>2</v>
      </c>
      <c r="E116" s="204">
        <v>4</v>
      </c>
      <c r="F116" s="16">
        <v>6315</v>
      </c>
      <c r="G116" s="14">
        <v>30</v>
      </c>
      <c r="H116" s="51"/>
      <c r="I116" s="224"/>
      <c r="J116" s="41"/>
      <c r="K116" s="41"/>
      <c r="L116" s="28"/>
      <c r="M116" s="246"/>
      <c r="N116" s="246"/>
      <c r="O116" s="246"/>
      <c r="P116" s="5"/>
      <c r="Q116" s="5"/>
      <c r="R116" s="5"/>
      <c r="S116" s="17">
        <v>53</v>
      </c>
      <c r="T116" s="54">
        <f>18513-T117</f>
        <v>16513</v>
      </c>
      <c r="U116" s="53">
        <f>45932-U117</f>
        <v>31432</v>
      </c>
      <c r="V116" s="54">
        <f>71567-V117</f>
        <v>36567</v>
      </c>
      <c r="W116" s="53">
        <f>80680-W117</f>
        <v>38680</v>
      </c>
      <c r="X116" s="54">
        <f>79351-X117</f>
        <v>29351</v>
      </c>
      <c r="Y116" s="53">
        <f>64880-Y117</f>
        <v>14880</v>
      </c>
      <c r="Z116" s="58">
        <f>17656-Z117</f>
        <v>4156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106"/>
      <c r="AK116" s="123">
        <f t="shared" si="11"/>
        <v>171632</v>
      </c>
      <c r="AL116" s="125"/>
      <c r="AM116" s="111" t="s">
        <v>474</v>
      </c>
      <c r="AN116" s="78"/>
      <c r="AO116" s="78"/>
      <c r="AP116" s="78"/>
      <c r="AQ116" s="78"/>
      <c r="AR116" s="78"/>
    </row>
    <row r="117" spans="1:44" ht="12.75">
      <c r="A117" s="197">
        <v>117</v>
      </c>
      <c r="B117" s="494" t="s">
        <v>415</v>
      </c>
      <c r="C117" s="15" t="s">
        <v>121</v>
      </c>
      <c r="D117" s="15" t="s">
        <v>2</v>
      </c>
      <c r="E117" s="204">
        <v>4</v>
      </c>
      <c r="F117" s="16">
        <v>6315</v>
      </c>
      <c r="G117" s="14">
        <v>30</v>
      </c>
      <c r="H117" s="51"/>
      <c r="I117" s="224"/>
      <c r="J117" s="41"/>
      <c r="K117" s="41"/>
      <c r="L117" s="41"/>
      <c r="M117" s="5"/>
      <c r="N117" s="5"/>
      <c r="O117" s="5"/>
      <c r="P117" s="5"/>
      <c r="Q117" s="5"/>
      <c r="R117" s="5"/>
      <c r="S117" s="66"/>
      <c r="T117" s="54">
        <v>2000</v>
      </c>
      <c r="U117" s="53">
        <v>14500</v>
      </c>
      <c r="V117" s="54">
        <v>35000</v>
      </c>
      <c r="W117" s="53">
        <v>42000</v>
      </c>
      <c r="X117" s="54">
        <v>50000</v>
      </c>
      <c r="Y117" s="53">
        <v>50000</v>
      </c>
      <c r="Z117" s="58">
        <f>207000-Y117-X117-W117-V117-U117-T117</f>
        <v>13500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106"/>
      <c r="AK117" s="123">
        <f t="shared" si="11"/>
        <v>207000</v>
      </c>
      <c r="AL117" s="125"/>
      <c r="AM117" s="111" t="s">
        <v>196</v>
      </c>
      <c r="AN117" s="72"/>
      <c r="AO117" s="72"/>
      <c r="AP117" s="72"/>
      <c r="AQ117" s="72"/>
      <c r="AR117" s="72"/>
    </row>
    <row r="118" spans="1:44" ht="13.5" thickBot="1">
      <c r="A118" s="414">
        <v>118</v>
      </c>
      <c r="B118" s="190" t="s">
        <v>53</v>
      </c>
      <c r="C118" s="145" t="s">
        <v>101</v>
      </c>
      <c r="D118" s="191" t="s">
        <v>93</v>
      </c>
      <c r="E118" s="191"/>
      <c r="F118" s="191"/>
      <c r="G118" s="202"/>
      <c r="H118" s="294">
        <f aca="true" t="shared" si="12" ref="H118:AJ118">SUM(H109:H117)</f>
        <v>0</v>
      </c>
      <c r="I118" s="294">
        <f t="shared" si="12"/>
        <v>0</v>
      </c>
      <c r="J118" s="294">
        <f t="shared" si="12"/>
        <v>0</v>
      </c>
      <c r="K118" s="294">
        <f t="shared" si="12"/>
        <v>1</v>
      </c>
      <c r="L118" s="294">
        <f t="shared" si="12"/>
        <v>71</v>
      </c>
      <c r="M118" s="294">
        <f t="shared" si="12"/>
        <v>170</v>
      </c>
      <c r="N118" s="294">
        <f t="shared" si="12"/>
        <v>270</v>
      </c>
      <c r="O118" s="294">
        <f t="shared" si="12"/>
        <v>510</v>
      </c>
      <c r="P118" s="294">
        <f t="shared" si="12"/>
        <v>489</v>
      </c>
      <c r="Q118" s="294">
        <f t="shared" si="12"/>
        <v>780</v>
      </c>
      <c r="R118" s="294">
        <f t="shared" si="12"/>
        <v>2500</v>
      </c>
      <c r="S118" s="294">
        <f t="shared" si="12"/>
        <v>6253</v>
      </c>
      <c r="T118" s="294">
        <f t="shared" si="12"/>
        <v>28513</v>
      </c>
      <c r="U118" s="294">
        <f t="shared" si="12"/>
        <v>55932</v>
      </c>
      <c r="V118" s="294">
        <f t="shared" si="12"/>
        <v>77449</v>
      </c>
      <c r="W118" s="294">
        <f t="shared" si="12"/>
        <v>83847</v>
      </c>
      <c r="X118" s="294">
        <f t="shared" si="12"/>
        <v>91736</v>
      </c>
      <c r="Y118" s="294">
        <f t="shared" si="12"/>
        <v>83366</v>
      </c>
      <c r="Z118" s="294">
        <f t="shared" si="12"/>
        <v>35605</v>
      </c>
      <c r="AA118" s="294">
        <f t="shared" si="12"/>
        <v>30000</v>
      </c>
      <c r="AB118" s="294">
        <f t="shared" si="12"/>
        <v>24500</v>
      </c>
      <c r="AC118" s="294">
        <f t="shared" si="12"/>
        <v>6413</v>
      </c>
      <c r="AD118" s="294">
        <f t="shared" si="12"/>
        <v>0</v>
      </c>
      <c r="AE118" s="294">
        <f t="shared" si="12"/>
        <v>0</v>
      </c>
      <c r="AF118" s="294">
        <f t="shared" si="12"/>
        <v>0</v>
      </c>
      <c r="AG118" s="294">
        <f t="shared" si="12"/>
        <v>0</v>
      </c>
      <c r="AH118" s="294">
        <f t="shared" si="12"/>
        <v>250</v>
      </c>
      <c r="AI118" s="294">
        <f t="shared" si="12"/>
        <v>2000</v>
      </c>
      <c r="AJ118" s="294">
        <f t="shared" si="12"/>
        <v>0</v>
      </c>
      <c r="AK118" s="147">
        <f t="shared" si="11"/>
        <v>530655</v>
      </c>
      <c r="AL118" s="372">
        <f>AK150-AK118</f>
        <v>180880</v>
      </c>
      <c r="AM118" s="203"/>
      <c r="AN118" s="150"/>
      <c r="AO118" s="150"/>
      <c r="AP118" s="150"/>
      <c r="AQ118" s="150"/>
      <c r="AR118" s="150"/>
    </row>
    <row r="119" spans="1:44" ht="12.75">
      <c r="A119" s="197">
        <v>119</v>
      </c>
      <c r="B119" s="42" t="s">
        <v>94</v>
      </c>
      <c r="C119" s="44"/>
      <c r="D119" s="44"/>
      <c r="E119" s="44"/>
      <c r="F119" s="144"/>
      <c r="G119" s="43"/>
      <c r="H119" s="24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2"/>
      <c r="AK119" s="133">
        <f aca="true" t="shared" si="13" ref="AK119:AK149">SUM(I119:AJ119)</f>
        <v>0</v>
      </c>
      <c r="AL119" s="124"/>
      <c r="AM119" s="116"/>
      <c r="AN119" s="72"/>
      <c r="AO119" s="72"/>
      <c r="AP119" s="72"/>
      <c r="AQ119" s="72"/>
      <c r="AR119" s="72"/>
    </row>
    <row r="120" spans="1:44" ht="12.75">
      <c r="A120" s="414">
        <v>120</v>
      </c>
      <c r="B120" s="494" t="s">
        <v>480</v>
      </c>
      <c r="C120" s="62" t="s">
        <v>127</v>
      </c>
      <c r="D120" s="62" t="s">
        <v>358</v>
      </c>
      <c r="E120" s="62">
        <v>4</v>
      </c>
      <c r="F120" s="64">
        <v>1791</v>
      </c>
      <c r="G120" s="154">
        <v>12</v>
      </c>
      <c r="H120" s="541"/>
      <c r="I120" s="243"/>
      <c r="J120" s="66"/>
      <c r="K120" s="66"/>
      <c r="L120" s="66" t="s">
        <v>100</v>
      </c>
      <c r="M120" s="66"/>
      <c r="N120" s="388"/>
      <c r="O120" s="244"/>
      <c r="P120" s="244"/>
      <c r="Q120" s="244"/>
      <c r="R120" s="244"/>
      <c r="S120" s="244"/>
      <c r="T120" s="244"/>
      <c r="U120" s="244"/>
      <c r="V120" s="24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245"/>
      <c r="AH120" s="245"/>
      <c r="AI120" s="245"/>
      <c r="AJ120" s="156"/>
      <c r="AK120" s="123">
        <f>SUM(I120:AJ120)</f>
        <v>0</v>
      </c>
      <c r="AL120" s="157"/>
      <c r="AM120" s="118" t="s">
        <v>469</v>
      </c>
      <c r="AN120" s="151"/>
      <c r="AO120" s="151"/>
      <c r="AP120" s="151"/>
      <c r="AQ120" s="151"/>
      <c r="AR120" s="151"/>
    </row>
    <row r="121" spans="1:44" ht="12.75">
      <c r="A121" s="197">
        <v>121</v>
      </c>
      <c r="B121" s="494" t="s">
        <v>480</v>
      </c>
      <c r="C121" s="62" t="s">
        <v>127</v>
      </c>
      <c r="D121" s="62" t="s">
        <v>358</v>
      </c>
      <c r="E121" s="62">
        <v>4</v>
      </c>
      <c r="F121" s="64">
        <v>3686</v>
      </c>
      <c r="G121" s="154">
        <v>20</v>
      </c>
      <c r="H121" s="541"/>
      <c r="I121" s="243"/>
      <c r="J121" s="66"/>
      <c r="K121" s="66"/>
      <c r="L121" s="66" t="s">
        <v>100</v>
      </c>
      <c r="M121" s="66"/>
      <c r="N121" s="388"/>
      <c r="O121" s="244"/>
      <c r="P121" s="244"/>
      <c r="Q121" s="244"/>
      <c r="R121" s="244"/>
      <c r="S121" s="244"/>
      <c r="T121" s="244"/>
      <c r="U121" s="244"/>
      <c r="V121" s="24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245"/>
      <c r="AH121" s="245"/>
      <c r="AI121" s="245"/>
      <c r="AJ121" s="156"/>
      <c r="AK121" s="123">
        <f>SUM(I121:AJ121)</f>
        <v>0</v>
      </c>
      <c r="AL121" s="157"/>
      <c r="AM121" s="118"/>
      <c r="AN121" s="151"/>
      <c r="AO121" s="151"/>
      <c r="AP121" s="151"/>
      <c r="AQ121" s="151"/>
      <c r="AR121" s="151"/>
    </row>
    <row r="122" spans="1:44" ht="12.75">
      <c r="A122" s="414">
        <v>122</v>
      </c>
      <c r="B122" s="495" t="s">
        <v>408</v>
      </c>
      <c r="C122" s="209" t="s">
        <v>134</v>
      </c>
      <c r="D122" s="15" t="s">
        <v>83</v>
      </c>
      <c r="E122" s="15">
        <v>4</v>
      </c>
      <c r="F122" s="64">
        <v>12723</v>
      </c>
      <c r="G122" s="14">
        <v>50</v>
      </c>
      <c r="H122" s="51"/>
      <c r="I122" s="224"/>
      <c r="J122" s="41"/>
      <c r="K122" s="41"/>
      <c r="L122" s="41"/>
      <c r="M122" s="17">
        <f>30-M123-M124</f>
        <v>30</v>
      </c>
      <c r="N122" s="17">
        <f>50-N123-N124</f>
        <v>50</v>
      </c>
      <c r="O122" s="17">
        <f>70-O123-O124</f>
        <v>70</v>
      </c>
      <c r="P122" s="17">
        <f>150-P123-P124</f>
        <v>150</v>
      </c>
      <c r="Q122" s="17">
        <v>157</v>
      </c>
      <c r="R122" s="17">
        <v>87</v>
      </c>
      <c r="S122" s="17">
        <v>320</v>
      </c>
      <c r="T122" s="17">
        <v>208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225"/>
      <c r="AK122" s="123">
        <f t="shared" si="13"/>
        <v>1072</v>
      </c>
      <c r="AL122" s="125"/>
      <c r="AM122" s="117" t="s">
        <v>485</v>
      </c>
      <c r="AN122" s="72"/>
      <c r="AO122" s="72"/>
      <c r="AP122" s="72"/>
      <c r="AQ122" s="72"/>
      <c r="AR122" s="72"/>
    </row>
    <row r="123" spans="1:44" ht="12.75">
      <c r="A123" s="197">
        <v>123</v>
      </c>
      <c r="B123" s="495" t="s">
        <v>409</v>
      </c>
      <c r="C123" s="209" t="s">
        <v>134</v>
      </c>
      <c r="D123" s="15" t="s">
        <v>83</v>
      </c>
      <c r="E123" s="15">
        <v>4</v>
      </c>
      <c r="F123" s="64">
        <v>12723</v>
      </c>
      <c r="G123" s="14">
        <v>75</v>
      </c>
      <c r="H123" s="51"/>
      <c r="I123" s="224"/>
      <c r="J123" s="41"/>
      <c r="K123" s="41"/>
      <c r="L123" s="41"/>
      <c r="M123" s="41"/>
      <c r="N123" s="41"/>
      <c r="O123" s="41"/>
      <c r="P123" s="41"/>
      <c r="Q123" s="41"/>
      <c r="R123" s="17">
        <v>144</v>
      </c>
      <c r="S123" s="17">
        <v>188</v>
      </c>
      <c r="T123" s="17">
        <v>23</v>
      </c>
      <c r="U123" s="5"/>
      <c r="V123" s="5"/>
      <c r="W123" s="5"/>
      <c r="X123" s="5"/>
      <c r="Y123" s="5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225"/>
      <c r="AK123" s="123">
        <f t="shared" si="13"/>
        <v>355</v>
      </c>
      <c r="AL123" s="363" t="s">
        <v>486</v>
      </c>
      <c r="AM123" s="117" t="s">
        <v>354</v>
      </c>
      <c r="AN123" s="72"/>
      <c r="AO123" s="72"/>
      <c r="AP123" s="72"/>
      <c r="AQ123" s="72"/>
      <c r="AR123" s="72"/>
    </row>
    <row r="124" spans="1:44" ht="12.75">
      <c r="A124" s="414">
        <v>124</v>
      </c>
      <c r="B124" s="495" t="s">
        <v>410</v>
      </c>
      <c r="C124" s="209" t="s">
        <v>134</v>
      </c>
      <c r="D124" s="15" t="s">
        <v>83</v>
      </c>
      <c r="E124" s="15">
        <v>4</v>
      </c>
      <c r="F124" s="64">
        <v>12723</v>
      </c>
      <c r="G124" s="14">
        <v>90</v>
      </c>
      <c r="H124" s="51"/>
      <c r="I124" s="224"/>
      <c r="J124" s="41"/>
      <c r="K124" s="41"/>
      <c r="L124" s="41"/>
      <c r="M124" s="41"/>
      <c r="N124" s="41"/>
      <c r="O124" s="41"/>
      <c r="P124" s="41"/>
      <c r="Q124" s="17"/>
      <c r="R124" s="17"/>
      <c r="S124" s="17"/>
      <c r="T124" s="17">
        <f>378+3</f>
        <v>381</v>
      </c>
      <c r="U124" s="17">
        <v>464</v>
      </c>
      <c r="V124" s="17">
        <v>451</v>
      </c>
      <c r="W124" s="17">
        <v>495</v>
      </c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225"/>
      <c r="AK124" s="123">
        <f>SUM(I124:AJ124)</f>
        <v>1791</v>
      </c>
      <c r="AL124" s="363">
        <v>3218</v>
      </c>
      <c r="AM124" s="117" t="s">
        <v>468</v>
      </c>
      <c r="AN124" s="72"/>
      <c r="AO124" s="72"/>
      <c r="AP124" s="72"/>
      <c r="AQ124" s="72"/>
      <c r="AR124" s="72"/>
    </row>
    <row r="125" spans="1:44" ht="12.75">
      <c r="A125" s="197">
        <v>125</v>
      </c>
      <c r="B125" s="494" t="s">
        <v>58</v>
      </c>
      <c r="C125" s="15" t="s">
        <v>122</v>
      </c>
      <c r="D125" s="15" t="s">
        <v>252</v>
      </c>
      <c r="E125" s="15">
        <v>4</v>
      </c>
      <c r="F125" s="64">
        <v>18472</v>
      </c>
      <c r="G125" s="14">
        <v>60</v>
      </c>
      <c r="H125" s="51"/>
      <c r="I125" s="224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17">
        <v>6</v>
      </c>
      <c r="U125" s="17">
        <v>24</v>
      </c>
      <c r="V125" s="17">
        <v>1652</v>
      </c>
      <c r="W125" s="17">
        <v>10100</v>
      </c>
      <c r="X125" s="17">
        <v>20463</v>
      </c>
      <c r="Y125" s="407">
        <f>29049-Y126</f>
        <v>28785</v>
      </c>
      <c r="Z125" s="17">
        <v>8007</v>
      </c>
      <c r="AA125" s="41"/>
      <c r="AB125" s="253"/>
      <c r="AC125" s="253"/>
      <c r="AD125" s="253"/>
      <c r="AE125" s="253"/>
      <c r="AF125" s="253"/>
      <c r="AG125" s="41"/>
      <c r="AH125" s="41"/>
      <c r="AI125" s="41"/>
      <c r="AJ125" s="225"/>
      <c r="AK125" s="123">
        <f t="shared" si="13"/>
        <v>69037</v>
      </c>
      <c r="AL125" s="125"/>
      <c r="AM125" s="111" t="s">
        <v>481</v>
      </c>
      <c r="AN125" s="72"/>
      <c r="AO125" s="72"/>
      <c r="AP125" s="72"/>
      <c r="AQ125" s="72"/>
      <c r="AR125" s="72"/>
    </row>
    <row r="126" spans="1:44" ht="12.75">
      <c r="A126" s="414">
        <v>126</v>
      </c>
      <c r="B126" s="494" t="s">
        <v>197</v>
      </c>
      <c r="C126" s="15" t="s">
        <v>122</v>
      </c>
      <c r="D126" s="15" t="s">
        <v>252</v>
      </c>
      <c r="E126" s="369">
        <v>4</v>
      </c>
      <c r="F126" s="158">
        <v>18472</v>
      </c>
      <c r="G126" s="35">
        <v>60</v>
      </c>
      <c r="H126" s="51"/>
      <c r="I126" s="224"/>
      <c r="J126" s="41"/>
      <c r="K126" s="41"/>
      <c r="L126" s="41"/>
      <c r="M126" s="226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59">
        <v>264</v>
      </c>
      <c r="Z126" s="41"/>
      <c r="AA126" s="41"/>
      <c r="AB126" s="253"/>
      <c r="AC126" s="253"/>
      <c r="AD126" s="253"/>
      <c r="AE126" s="253"/>
      <c r="AF126" s="253"/>
      <c r="AG126" s="41"/>
      <c r="AH126" s="41"/>
      <c r="AI126" s="41"/>
      <c r="AJ126" s="225"/>
      <c r="AK126" s="123">
        <f t="shared" si="13"/>
        <v>264</v>
      </c>
      <c r="AL126" s="125"/>
      <c r="AM126" s="111" t="s">
        <v>473</v>
      </c>
      <c r="AN126" s="72"/>
      <c r="AO126" s="72"/>
      <c r="AP126" s="72"/>
      <c r="AQ126" s="72"/>
      <c r="AR126" s="72"/>
    </row>
    <row r="127" spans="1:44" ht="12.75">
      <c r="A127" s="197">
        <v>127</v>
      </c>
      <c r="B127" s="494" t="s">
        <v>411</v>
      </c>
      <c r="C127" s="15" t="s">
        <v>122</v>
      </c>
      <c r="D127" s="15" t="s">
        <v>253</v>
      </c>
      <c r="E127" s="142">
        <v>4</v>
      </c>
      <c r="F127" s="64">
        <v>13546</v>
      </c>
      <c r="G127" s="14">
        <v>65</v>
      </c>
      <c r="H127" s="51"/>
      <c r="I127" s="224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18">
        <v>7</v>
      </c>
      <c r="Y127" s="18">
        <v>10</v>
      </c>
      <c r="Z127" s="450">
        <f>4998-Z128</f>
        <v>4498</v>
      </c>
      <c r="AA127" s="54">
        <v>11000</v>
      </c>
      <c r="AB127" s="54">
        <v>10000</v>
      </c>
      <c r="AC127" s="54">
        <v>10000</v>
      </c>
      <c r="AD127" s="58">
        <f>37626-AC127-AB127-AA127-Z127-AE127</f>
        <v>2028</v>
      </c>
      <c r="AE127" s="54">
        <v>100</v>
      </c>
      <c r="AF127" s="41"/>
      <c r="AG127" s="41"/>
      <c r="AH127" s="41"/>
      <c r="AI127" s="41"/>
      <c r="AJ127" s="225"/>
      <c r="AK127" s="123">
        <f t="shared" si="13"/>
        <v>37643</v>
      </c>
      <c r="AL127" s="125"/>
      <c r="AM127" s="111" t="s">
        <v>355</v>
      </c>
      <c r="AN127" s="72"/>
      <c r="AO127" s="72"/>
      <c r="AP127" s="72"/>
      <c r="AQ127" s="72"/>
      <c r="AR127" s="72"/>
    </row>
    <row r="128" spans="1:45" s="45" customFormat="1" ht="13.5" thickBot="1">
      <c r="A128" s="414">
        <v>128</v>
      </c>
      <c r="B128" s="496" t="s">
        <v>412</v>
      </c>
      <c r="C128" s="367" t="s">
        <v>122</v>
      </c>
      <c r="D128" s="12" t="s">
        <v>253</v>
      </c>
      <c r="E128" s="368">
        <v>4</v>
      </c>
      <c r="F128" s="140">
        <v>15473</v>
      </c>
      <c r="G128" s="141">
        <v>60</v>
      </c>
      <c r="H128" s="242"/>
      <c r="I128" s="243"/>
      <c r="J128" s="244"/>
      <c r="K128" s="244"/>
      <c r="L128" s="244"/>
      <c r="M128" s="244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446">
        <v>500</v>
      </c>
      <c r="AA128" s="446">
        <v>1900</v>
      </c>
      <c r="AB128" s="446">
        <v>2000</v>
      </c>
      <c r="AC128" s="446">
        <v>2000</v>
      </c>
      <c r="AD128" s="447">
        <f>7365-AC128-AB128-AA128-Z128</f>
        <v>965</v>
      </c>
      <c r="AE128" s="433"/>
      <c r="AF128" s="230"/>
      <c r="AG128" s="230"/>
      <c r="AH128" s="230"/>
      <c r="AI128" s="230"/>
      <c r="AJ128" s="434"/>
      <c r="AK128" s="123">
        <f t="shared" si="13"/>
        <v>7365</v>
      </c>
      <c r="AL128" s="125"/>
      <c r="AM128" s="118" t="s">
        <v>257</v>
      </c>
      <c r="AN128" s="72"/>
      <c r="AO128" s="72"/>
      <c r="AP128" s="72"/>
      <c r="AQ128" s="72"/>
      <c r="AR128" s="72"/>
      <c r="AS128" s="1"/>
    </row>
    <row r="129" spans="1:44" ht="12.75">
      <c r="A129" s="197">
        <v>129</v>
      </c>
      <c r="B129" s="495" t="s">
        <v>144</v>
      </c>
      <c r="C129" s="21" t="s">
        <v>121</v>
      </c>
      <c r="D129" s="21" t="s">
        <v>82</v>
      </c>
      <c r="E129" s="21">
        <v>4</v>
      </c>
      <c r="F129" s="144">
        <v>7464</v>
      </c>
      <c r="G129" s="7">
        <v>52</v>
      </c>
      <c r="H129" s="56"/>
      <c r="I129" s="224"/>
      <c r="J129" s="41"/>
      <c r="K129" s="41"/>
      <c r="L129" s="41"/>
      <c r="M129" s="41"/>
      <c r="N129" s="222"/>
      <c r="O129" s="222"/>
      <c r="P129" s="222"/>
      <c r="Q129" s="222"/>
      <c r="R129" s="222"/>
      <c r="S129" s="222"/>
      <c r="T129" s="222"/>
      <c r="U129" s="464"/>
      <c r="V129" s="222"/>
      <c r="W129" s="222"/>
      <c r="X129" s="6"/>
      <c r="Y129" s="222"/>
      <c r="Z129" s="69">
        <f>2550-Z130</f>
        <v>2250</v>
      </c>
      <c r="AA129" s="444">
        <v>2500</v>
      </c>
      <c r="AB129" s="444">
        <v>4000</v>
      </c>
      <c r="AC129" s="444">
        <v>4000</v>
      </c>
      <c r="AD129" s="444">
        <v>2500</v>
      </c>
      <c r="AE129" s="445">
        <f>15900-AD129-AC129-AB129-AA129-Z129-AF129</f>
        <v>650</v>
      </c>
      <c r="AF129" s="442"/>
      <c r="AG129" s="222"/>
      <c r="AH129" s="6">
        <v>300</v>
      </c>
      <c r="AI129" s="6">
        <v>1000</v>
      </c>
      <c r="AJ129" s="6" t="s">
        <v>0</v>
      </c>
      <c r="AK129" s="123">
        <f t="shared" si="13"/>
        <v>17200</v>
      </c>
      <c r="AL129" s="125"/>
      <c r="AM129" s="111" t="s">
        <v>137</v>
      </c>
      <c r="AN129" s="72"/>
      <c r="AO129" s="72"/>
      <c r="AP129" s="72"/>
      <c r="AQ129" s="72"/>
      <c r="AR129" s="72"/>
    </row>
    <row r="130" spans="1:44" ht="12.75">
      <c r="A130" s="414">
        <v>130</v>
      </c>
      <c r="B130" s="495" t="s">
        <v>413</v>
      </c>
      <c r="C130" s="15" t="s">
        <v>120</v>
      </c>
      <c r="D130" s="21" t="s">
        <v>82</v>
      </c>
      <c r="E130" s="21">
        <v>4</v>
      </c>
      <c r="F130" s="144">
        <v>7464</v>
      </c>
      <c r="G130" s="7">
        <v>52</v>
      </c>
      <c r="H130" s="56"/>
      <c r="I130" s="224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5">
        <v>2</v>
      </c>
      <c r="Y130" s="41"/>
      <c r="Z130" s="53">
        <v>300</v>
      </c>
      <c r="AA130" s="40">
        <v>1200</v>
      </c>
      <c r="AB130" s="40">
        <v>2300</v>
      </c>
      <c r="AC130" s="40">
        <v>2200</v>
      </c>
      <c r="AD130" s="39">
        <f>7200-AC130-AB130-AA130-Z130-AE130-AF130</f>
        <v>750</v>
      </c>
      <c r="AE130" s="40">
        <v>300</v>
      </c>
      <c r="AF130" s="40">
        <v>150</v>
      </c>
      <c r="AG130" s="41"/>
      <c r="AH130" s="5">
        <v>300</v>
      </c>
      <c r="AI130" s="5">
        <v>1000</v>
      </c>
      <c r="AJ130" s="5" t="s">
        <v>0</v>
      </c>
      <c r="AK130" s="123">
        <f aca="true" t="shared" si="14" ref="AK130:AK139">SUM(I130:AJ130)</f>
        <v>8502</v>
      </c>
      <c r="AL130" s="125"/>
      <c r="AM130" s="111" t="s">
        <v>220</v>
      </c>
      <c r="AN130" s="72"/>
      <c r="AO130" s="72"/>
      <c r="AP130" s="72"/>
      <c r="AQ130" s="72"/>
      <c r="AR130" s="72"/>
    </row>
    <row r="131" spans="1:44" ht="12.75">
      <c r="A131" s="197">
        <v>131</v>
      </c>
      <c r="B131" s="494" t="s">
        <v>135</v>
      </c>
      <c r="C131" s="15" t="s">
        <v>136</v>
      </c>
      <c r="D131" s="21" t="s">
        <v>254</v>
      </c>
      <c r="E131" s="15">
        <v>4</v>
      </c>
      <c r="F131" s="144">
        <v>7464</v>
      </c>
      <c r="G131" s="14">
        <v>52</v>
      </c>
      <c r="H131" s="51"/>
      <c r="I131" s="224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5"/>
      <c r="Y131" s="41"/>
      <c r="Z131" s="41"/>
      <c r="AA131" s="41"/>
      <c r="AB131" s="41"/>
      <c r="AC131" s="41"/>
      <c r="AD131" s="41"/>
      <c r="AE131" s="41"/>
      <c r="AF131" s="36">
        <v>250</v>
      </c>
      <c r="AG131" s="36">
        <f>1000-AF131</f>
        <v>750</v>
      </c>
      <c r="AH131" s="36">
        <v>1800</v>
      </c>
      <c r="AI131" s="36">
        <v>2500</v>
      </c>
      <c r="AJ131" s="210">
        <f>10000-AI131-AH131-AG131-AF131</f>
        <v>4700</v>
      </c>
      <c r="AK131" s="123">
        <f t="shared" si="14"/>
        <v>10000</v>
      </c>
      <c r="AL131" s="125"/>
      <c r="AM131" s="111" t="s">
        <v>268</v>
      </c>
      <c r="AN131" s="72"/>
      <c r="AO131" s="72"/>
      <c r="AP131" s="72"/>
      <c r="AQ131" s="72"/>
      <c r="AR131" s="72"/>
    </row>
    <row r="132" spans="1:44" ht="12.75">
      <c r="A132" s="414">
        <v>132</v>
      </c>
      <c r="B132" s="495" t="s">
        <v>418</v>
      </c>
      <c r="C132" s="15" t="s">
        <v>132</v>
      </c>
      <c r="D132" s="21" t="s">
        <v>98</v>
      </c>
      <c r="E132" s="350">
        <v>4</v>
      </c>
      <c r="F132" s="144">
        <v>7464</v>
      </c>
      <c r="G132" s="29">
        <v>42</v>
      </c>
      <c r="H132" s="56"/>
      <c r="I132" s="224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5"/>
      <c r="Y132" s="41"/>
      <c r="Z132" s="53"/>
      <c r="AA132" s="53">
        <v>2500</v>
      </c>
      <c r="AB132" s="53">
        <v>4500</v>
      </c>
      <c r="AC132" s="53">
        <v>5500</v>
      </c>
      <c r="AD132" s="53">
        <v>3000</v>
      </c>
      <c r="AE132" s="52">
        <f>16000-AD132-AC132-AB132-AA132-Z132</f>
        <v>500</v>
      </c>
      <c r="AF132" s="5"/>
      <c r="AG132" s="41"/>
      <c r="AH132" s="5"/>
      <c r="AI132" s="5"/>
      <c r="AJ132" s="225"/>
      <c r="AK132" s="123">
        <f t="shared" si="14"/>
        <v>16000</v>
      </c>
      <c r="AL132" s="125"/>
      <c r="AM132" s="111" t="s">
        <v>210</v>
      </c>
      <c r="AN132" s="72"/>
      <c r="AO132" s="72"/>
      <c r="AP132" s="72"/>
      <c r="AQ132" s="72"/>
      <c r="AR132" s="72"/>
    </row>
    <row r="133" spans="1:44" ht="12.75">
      <c r="A133" s="197">
        <v>133</v>
      </c>
      <c r="B133" s="497" t="s">
        <v>416</v>
      </c>
      <c r="C133" s="26" t="s">
        <v>265</v>
      </c>
      <c r="D133" s="77" t="s">
        <v>266</v>
      </c>
      <c r="E133" s="16">
        <v>6</v>
      </c>
      <c r="F133" s="16">
        <v>5562</v>
      </c>
      <c r="G133" s="14">
        <v>73</v>
      </c>
      <c r="H133" s="247"/>
      <c r="I133" s="228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25">
        <v>64</v>
      </c>
      <c r="AI133" s="4">
        <v>1000</v>
      </c>
      <c r="AJ133" s="371" t="s">
        <v>0</v>
      </c>
      <c r="AK133" s="123">
        <f t="shared" si="14"/>
        <v>1064</v>
      </c>
      <c r="AL133" s="122"/>
      <c r="AM133" s="115" t="s">
        <v>417</v>
      </c>
      <c r="AN133" s="331"/>
      <c r="AO133" s="331"/>
      <c r="AP133" s="331"/>
      <c r="AQ133" s="331"/>
      <c r="AR133" s="331"/>
    </row>
    <row r="134" spans="1:44" ht="13.5" thickBot="1">
      <c r="A134" s="414">
        <v>134</v>
      </c>
      <c r="B134" s="373" t="s">
        <v>258</v>
      </c>
      <c r="C134" s="145" t="s">
        <v>101</v>
      </c>
      <c r="D134" s="191" t="s">
        <v>93</v>
      </c>
      <c r="E134" s="191"/>
      <c r="F134" s="191"/>
      <c r="G134" s="146"/>
      <c r="H134" s="295">
        <f>SUM(H120:H133)</f>
        <v>0</v>
      </c>
      <c r="I134" s="295">
        <f aca="true" t="shared" si="15" ref="I134:AJ134">SUM(I120:I133)</f>
        <v>0</v>
      </c>
      <c r="J134" s="295">
        <f t="shared" si="15"/>
        <v>0</v>
      </c>
      <c r="K134" s="295">
        <f t="shared" si="15"/>
        <v>0</v>
      </c>
      <c r="L134" s="295">
        <f t="shared" si="15"/>
        <v>0</v>
      </c>
      <c r="M134" s="295">
        <f t="shared" si="15"/>
        <v>30</v>
      </c>
      <c r="N134" s="295">
        <f t="shared" si="15"/>
        <v>50</v>
      </c>
      <c r="O134" s="295">
        <f t="shared" si="15"/>
        <v>70</v>
      </c>
      <c r="P134" s="295">
        <f t="shared" si="15"/>
        <v>150</v>
      </c>
      <c r="Q134" s="295">
        <f t="shared" si="15"/>
        <v>157</v>
      </c>
      <c r="R134" s="295">
        <f t="shared" si="15"/>
        <v>231</v>
      </c>
      <c r="S134" s="295">
        <f t="shared" si="15"/>
        <v>508</v>
      </c>
      <c r="T134" s="295">
        <f t="shared" si="15"/>
        <v>618</v>
      </c>
      <c r="U134" s="295">
        <f t="shared" si="15"/>
        <v>488</v>
      </c>
      <c r="V134" s="295">
        <f t="shared" si="15"/>
        <v>2103</v>
      </c>
      <c r="W134" s="295">
        <f t="shared" si="15"/>
        <v>10595</v>
      </c>
      <c r="X134" s="295">
        <f t="shared" si="15"/>
        <v>20472</v>
      </c>
      <c r="Y134" s="295">
        <f t="shared" si="15"/>
        <v>29059</v>
      </c>
      <c r="Z134" s="295">
        <f t="shared" si="15"/>
        <v>15555</v>
      </c>
      <c r="AA134" s="295">
        <f t="shared" si="15"/>
        <v>19100</v>
      </c>
      <c r="AB134" s="295">
        <f t="shared" si="15"/>
        <v>22800</v>
      </c>
      <c r="AC134" s="295">
        <f t="shared" si="15"/>
        <v>23700</v>
      </c>
      <c r="AD134" s="295">
        <f t="shared" si="15"/>
        <v>9243</v>
      </c>
      <c r="AE134" s="295">
        <f t="shared" si="15"/>
        <v>1550</v>
      </c>
      <c r="AF134" s="295">
        <f t="shared" si="15"/>
        <v>400</v>
      </c>
      <c r="AG134" s="295">
        <f t="shared" si="15"/>
        <v>750</v>
      </c>
      <c r="AH134" s="295">
        <f t="shared" si="15"/>
        <v>2464</v>
      </c>
      <c r="AI134" s="295">
        <f t="shared" si="15"/>
        <v>5500</v>
      </c>
      <c r="AJ134" s="295">
        <f t="shared" si="15"/>
        <v>4700</v>
      </c>
      <c r="AK134" s="147">
        <f t="shared" si="14"/>
        <v>170293</v>
      </c>
      <c r="AL134" s="374">
        <v>143661</v>
      </c>
      <c r="AM134" s="149"/>
      <c r="AN134" s="150"/>
      <c r="AO134" s="150"/>
      <c r="AP134" s="150"/>
      <c r="AQ134" s="150"/>
      <c r="AR134" s="150"/>
    </row>
    <row r="135" spans="1:44" ht="12.75">
      <c r="A135" s="197">
        <v>135</v>
      </c>
      <c r="B135" s="495" t="s">
        <v>477</v>
      </c>
      <c r="C135" s="523" t="s">
        <v>127</v>
      </c>
      <c r="D135" s="209" t="s">
        <v>358</v>
      </c>
      <c r="E135" s="209">
        <v>4</v>
      </c>
      <c r="F135" s="144">
        <v>22207</v>
      </c>
      <c r="G135" s="532">
        <v>75</v>
      </c>
      <c r="H135" s="533">
        <v>3</v>
      </c>
      <c r="I135" s="534"/>
      <c r="J135" s="75">
        <v>3</v>
      </c>
      <c r="K135" s="75">
        <v>10</v>
      </c>
      <c r="L135" s="75">
        <v>12</v>
      </c>
      <c r="M135" s="75">
        <v>12</v>
      </c>
      <c r="N135" s="76">
        <f>50-M135-L135-K135-J135-I135-H135</f>
        <v>10</v>
      </c>
      <c r="O135" s="535"/>
      <c r="P135" s="535"/>
      <c r="Q135" s="535"/>
      <c r="R135" s="535"/>
      <c r="S135" s="535"/>
      <c r="T135" s="535"/>
      <c r="U135" s="535"/>
      <c r="V135" s="535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7"/>
      <c r="AH135" s="537"/>
      <c r="AI135" s="537"/>
      <c r="AJ135" s="538"/>
      <c r="AK135" s="133">
        <f>SUM(I135:AJ135)</f>
        <v>47</v>
      </c>
      <c r="AL135" s="539"/>
      <c r="AM135" s="540" t="s">
        <v>469</v>
      </c>
      <c r="AN135" s="151"/>
      <c r="AO135" s="151"/>
      <c r="AP135" s="151"/>
      <c r="AQ135" s="151"/>
      <c r="AR135" s="151"/>
    </row>
    <row r="136" spans="1:44" ht="12.75">
      <c r="A136" s="414">
        <v>136</v>
      </c>
      <c r="B136" s="306" t="s">
        <v>143</v>
      </c>
      <c r="C136" s="522" t="s">
        <v>264</v>
      </c>
      <c r="D136" s="15" t="s">
        <v>356</v>
      </c>
      <c r="E136" s="19">
        <v>4</v>
      </c>
      <c r="F136" s="16">
        <v>6991</v>
      </c>
      <c r="G136" s="14">
        <v>40</v>
      </c>
      <c r="H136" s="51"/>
      <c r="I136" s="224"/>
      <c r="J136" s="41"/>
      <c r="K136" s="41"/>
      <c r="L136" s="41"/>
      <c r="M136" s="494">
        <v>1</v>
      </c>
      <c r="N136" s="17">
        <f>51</f>
        <v>51</v>
      </c>
      <c r="O136" s="5">
        <v>15</v>
      </c>
      <c r="P136" s="5">
        <v>15</v>
      </c>
      <c r="Q136" s="5">
        <v>15</v>
      </c>
      <c r="R136" s="5">
        <v>15</v>
      </c>
      <c r="S136" s="5">
        <v>15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06"/>
      <c r="AK136" s="123">
        <f>SUM(I136:AJ136)</f>
        <v>127</v>
      </c>
      <c r="AL136" s="125"/>
      <c r="AM136" s="111" t="s">
        <v>479</v>
      </c>
      <c r="AN136" s="72"/>
      <c r="AO136" s="72"/>
      <c r="AP136" s="72"/>
      <c r="AQ136" s="72"/>
      <c r="AR136" s="72"/>
    </row>
    <row r="137" spans="1:44" ht="12.75">
      <c r="A137" s="197">
        <v>137</v>
      </c>
      <c r="B137" s="526" t="s">
        <v>81</v>
      </c>
      <c r="C137" s="524" t="s">
        <v>139</v>
      </c>
      <c r="D137" s="26" t="s">
        <v>97</v>
      </c>
      <c r="E137" s="15">
        <v>4</v>
      </c>
      <c r="F137" s="16">
        <v>3287</v>
      </c>
      <c r="G137" s="14">
        <v>40</v>
      </c>
      <c r="H137" s="51"/>
      <c r="I137" s="224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527"/>
      <c r="V137" s="527"/>
      <c r="W137" s="527"/>
      <c r="X137" s="527"/>
      <c r="Y137" s="18">
        <v>100</v>
      </c>
      <c r="Z137" s="527"/>
      <c r="AA137" s="527"/>
      <c r="AB137" s="527"/>
      <c r="AC137" s="527"/>
      <c r="AD137" s="527"/>
      <c r="AE137" s="527"/>
      <c r="AF137" s="527"/>
      <c r="AG137" s="527"/>
      <c r="AH137" s="527"/>
      <c r="AI137" s="527"/>
      <c r="AJ137" s="225"/>
      <c r="AK137" s="123">
        <f t="shared" si="14"/>
        <v>100</v>
      </c>
      <c r="AL137" s="125"/>
      <c r="AM137" s="111" t="s">
        <v>119</v>
      </c>
      <c r="AN137" s="72"/>
      <c r="AO137" s="72"/>
      <c r="AP137" s="72"/>
      <c r="AQ137" s="72"/>
      <c r="AR137" s="72"/>
    </row>
    <row r="138" spans="1:44" ht="12.75">
      <c r="A138" s="414">
        <v>138</v>
      </c>
      <c r="B138" s="498" t="s">
        <v>490</v>
      </c>
      <c r="C138" s="524" t="s">
        <v>120</v>
      </c>
      <c r="D138" s="26" t="s">
        <v>256</v>
      </c>
      <c r="E138" s="26">
        <v>4</v>
      </c>
      <c r="F138" s="143">
        <v>3260</v>
      </c>
      <c r="G138" s="46">
        <v>50</v>
      </c>
      <c r="H138" s="48"/>
      <c r="I138" s="228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528"/>
      <c r="Z138" s="375">
        <f>574+40</f>
        <v>614</v>
      </c>
      <c r="AA138" s="375">
        <v>1904</v>
      </c>
      <c r="AB138" s="375">
        <v>2394</v>
      </c>
      <c r="AC138" s="375">
        <v>2426</v>
      </c>
      <c r="AD138" s="375">
        <v>442</v>
      </c>
      <c r="AE138" s="67"/>
      <c r="AF138" s="529"/>
      <c r="AG138" s="229"/>
      <c r="AH138" s="229"/>
      <c r="AI138" s="229"/>
      <c r="AJ138" s="530"/>
      <c r="AK138" s="123">
        <f t="shared" si="14"/>
        <v>7780</v>
      </c>
      <c r="AL138" s="125"/>
      <c r="AM138" s="111" t="s">
        <v>489</v>
      </c>
      <c r="AN138" s="72"/>
      <c r="AO138" s="72"/>
      <c r="AP138" s="72"/>
      <c r="AQ138" s="72"/>
      <c r="AR138" s="72"/>
    </row>
    <row r="139" spans="1:44" ht="13.5" thickBot="1">
      <c r="A139" s="197">
        <v>139</v>
      </c>
      <c r="B139" s="531" t="s">
        <v>227</v>
      </c>
      <c r="C139" s="525" t="s">
        <v>120</v>
      </c>
      <c r="D139" s="12" t="s">
        <v>255</v>
      </c>
      <c r="E139" s="12">
        <v>4</v>
      </c>
      <c r="F139" s="140">
        <v>7464</v>
      </c>
      <c r="G139" s="14">
        <v>52</v>
      </c>
      <c r="H139" s="51"/>
      <c r="I139" s="224"/>
      <c r="J139" s="41"/>
      <c r="K139" s="41"/>
      <c r="L139" s="41"/>
      <c r="M139" s="224"/>
      <c r="N139" s="10"/>
      <c r="O139" s="10"/>
      <c r="P139" s="10"/>
      <c r="Q139" s="10"/>
      <c r="R139" s="10"/>
      <c r="S139" s="10"/>
      <c r="T139" s="10"/>
      <c r="U139" s="438"/>
      <c r="V139" s="438"/>
      <c r="W139" s="438"/>
      <c r="X139" s="422">
        <v>1</v>
      </c>
      <c r="Y139" s="438"/>
      <c r="Z139" s="439">
        <v>173</v>
      </c>
      <c r="AA139" s="439">
        <v>136</v>
      </c>
      <c r="AB139" s="439">
        <v>1256</v>
      </c>
      <c r="AC139" s="439">
        <v>1274</v>
      </c>
      <c r="AD139" s="440">
        <f>3438-AC139-AB139-AA139-Z139</f>
        <v>599</v>
      </c>
      <c r="AE139" s="439">
        <f>6505-AF139</f>
        <v>3146</v>
      </c>
      <c r="AF139" s="439">
        <f>3359</f>
        <v>3359</v>
      </c>
      <c r="AG139" s="10"/>
      <c r="AH139" s="10"/>
      <c r="AI139" s="10"/>
      <c r="AJ139" s="441"/>
      <c r="AK139" s="123">
        <f t="shared" si="14"/>
        <v>9944</v>
      </c>
      <c r="AL139" s="125">
        <v>9944</v>
      </c>
      <c r="AM139" s="111" t="s">
        <v>319</v>
      </c>
      <c r="AN139" s="72"/>
      <c r="AO139" s="72"/>
      <c r="AP139" s="72"/>
      <c r="AQ139" s="72"/>
      <c r="AR139" s="72"/>
    </row>
    <row r="140" spans="1:44" ht="12.75">
      <c r="A140" s="414">
        <v>140</v>
      </c>
      <c r="B140" s="495" t="s">
        <v>56</v>
      </c>
      <c r="C140" s="523" t="s">
        <v>146</v>
      </c>
      <c r="D140" s="21" t="s">
        <v>85</v>
      </c>
      <c r="E140" s="21">
        <v>4</v>
      </c>
      <c r="F140" s="144">
        <v>6630</v>
      </c>
      <c r="G140" s="7">
        <v>90</v>
      </c>
      <c r="H140" s="56"/>
      <c r="I140" s="221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31">
        <v>5</v>
      </c>
      <c r="W140" s="31">
        <v>23</v>
      </c>
      <c r="X140" s="31">
        <v>115</v>
      </c>
      <c r="Y140" s="31"/>
      <c r="Z140" s="31"/>
      <c r="AA140" s="31">
        <v>30</v>
      </c>
      <c r="AB140" s="31"/>
      <c r="AC140" s="31">
        <v>10</v>
      </c>
      <c r="AD140" s="222"/>
      <c r="AE140" s="222"/>
      <c r="AF140" s="222"/>
      <c r="AG140" s="226"/>
      <c r="AH140" s="222"/>
      <c r="AI140" s="222"/>
      <c r="AJ140" s="223"/>
      <c r="AK140" s="123">
        <f t="shared" si="13"/>
        <v>183</v>
      </c>
      <c r="AL140" s="125"/>
      <c r="AM140" s="111" t="s">
        <v>234</v>
      </c>
      <c r="AN140" s="72"/>
      <c r="AO140" s="72"/>
      <c r="AP140" s="72"/>
      <c r="AQ140" s="72"/>
      <c r="AR140" s="72"/>
    </row>
    <row r="141" spans="1:44" ht="12.75">
      <c r="A141" s="197">
        <v>141</v>
      </c>
      <c r="B141" s="494" t="s">
        <v>419</v>
      </c>
      <c r="C141" s="522" t="s">
        <v>118</v>
      </c>
      <c r="D141" s="15" t="s">
        <v>99</v>
      </c>
      <c r="E141" s="15">
        <v>12</v>
      </c>
      <c r="F141" s="64">
        <f>3487*2</f>
        <v>6974</v>
      </c>
      <c r="G141" s="14">
        <f>2*70</f>
        <v>140</v>
      </c>
      <c r="H141" s="50"/>
      <c r="I141" s="224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34"/>
      <c r="X141" s="34"/>
      <c r="Y141" s="34"/>
      <c r="Z141" s="34"/>
      <c r="AA141" s="34"/>
      <c r="AB141" s="34"/>
      <c r="AC141" s="41"/>
      <c r="AD141" s="41"/>
      <c r="AE141" s="41"/>
      <c r="AF141" s="18"/>
      <c r="AG141" s="18">
        <v>55</v>
      </c>
      <c r="AH141" s="41"/>
      <c r="AI141" s="41"/>
      <c r="AJ141" s="225"/>
      <c r="AK141" s="123">
        <f t="shared" si="13"/>
        <v>55</v>
      </c>
      <c r="AL141" s="125"/>
      <c r="AM141" s="111" t="s">
        <v>117</v>
      </c>
      <c r="AN141" s="72"/>
      <c r="AO141" s="72"/>
      <c r="AP141" s="72"/>
      <c r="AQ141" s="72"/>
      <c r="AR141" s="72"/>
    </row>
    <row r="142" spans="1:44" ht="12.75">
      <c r="A142" s="414">
        <v>142</v>
      </c>
      <c r="B142" s="494" t="s">
        <v>420</v>
      </c>
      <c r="C142" s="522" t="s">
        <v>118</v>
      </c>
      <c r="D142" s="15" t="s">
        <v>87</v>
      </c>
      <c r="E142" s="142">
        <v>4</v>
      </c>
      <c r="F142" s="64"/>
      <c r="G142" s="14">
        <v>110</v>
      </c>
      <c r="H142" s="51"/>
      <c r="I142" s="224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17">
        <v>1</v>
      </c>
      <c r="AG142" s="17">
        <v>218</v>
      </c>
      <c r="AH142" s="17">
        <v>965</v>
      </c>
      <c r="AI142" s="17">
        <v>1666</v>
      </c>
      <c r="AJ142" s="387">
        <v>67</v>
      </c>
      <c r="AK142" s="123">
        <f t="shared" si="13"/>
        <v>2917</v>
      </c>
      <c r="AL142" s="125"/>
      <c r="AM142" s="111" t="s">
        <v>318</v>
      </c>
      <c r="AN142" s="72"/>
      <c r="AO142" s="72"/>
      <c r="AP142" s="72"/>
      <c r="AQ142" s="72"/>
      <c r="AR142" s="72"/>
    </row>
    <row r="143" spans="1:44" ht="13.5" thickBot="1">
      <c r="A143" s="197">
        <v>143</v>
      </c>
      <c r="B143" s="496" t="s">
        <v>421</v>
      </c>
      <c r="C143" s="525" t="s">
        <v>118</v>
      </c>
      <c r="D143" s="12" t="s">
        <v>89</v>
      </c>
      <c r="E143" s="12">
        <v>6</v>
      </c>
      <c r="F143" s="140">
        <v>3487</v>
      </c>
      <c r="G143" s="11">
        <v>76</v>
      </c>
      <c r="H143" s="50"/>
      <c r="I143" s="224"/>
      <c r="J143" s="41"/>
      <c r="K143" s="41"/>
      <c r="L143" s="41"/>
      <c r="M143" s="41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443"/>
      <c r="AC143" s="10"/>
      <c r="AD143" s="10"/>
      <c r="AE143" s="10"/>
      <c r="AF143" s="230"/>
      <c r="AG143" s="230"/>
      <c r="AH143" s="260">
        <v>95</v>
      </c>
      <c r="AI143" s="433"/>
      <c r="AJ143" s="441"/>
      <c r="AK143" s="123">
        <f t="shared" si="13"/>
        <v>95</v>
      </c>
      <c r="AL143" s="125"/>
      <c r="AM143" s="111" t="s">
        <v>321</v>
      </c>
      <c r="AN143" s="72"/>
      <c r="AO143" s="72"/>
      <c r="AP143" s="72"/>
      <c r="AQ143" s="72"/>
      <c r="AR143" s="72"/>
    </row>
    <row r="144" spans="1:44" ht="12.75">
      <c r="A144" s="414">
        <v>144</v>
      </c>
      <c r="B144" s="495" t="s">
        <v>55</v>
      </c>
      <c r="C144" s="523" t="s">
        <v>134</v>
      </c>
      <c r="D144" s="21" t="s">
        <v>84</v>
      </c>
      <c r="E144" s="21">
        <v>4</v>
      </c>
      <c r="F144" s="8">
        <v>15095</v>
      </c>
      <c r="G144" s="7">
        <v>131</v>
      </c>
      <c r="H144" s="56"/>
      <c r="I144" s="224"/>
      <c r="J144" s="41"/>
      <c r="K144" s="41"/>
      <c r="L144" s="41"/>
      <c r="M144" s="41"/>
      <c r="N144" s="222"/>
      <c r="O144" s="222"/>
      <c r="P144" s="222"/>
      <c r="Q144" s="222"/>
      <c r="R144" s="222"/>
      <c r="S144" s="222"/>
      <c r="T144" s="31">
        <v>3</v>
      </c>
      <c r="U144" s="222"/>
      <c r="V144" s="222"/>
      <c r="W144" s="333">
        <v>5</v>
      </c>
      <c r="X144" s="333">
        <v>50</v>
      </c>
      <c r="Y144" s="333">
        <v>401</v>
      </c>
      <c r="Z144" s="333">
        <v>368</v>
      </c>
      <c r="AA144" s="333">
        <v>495</v>
      </c>
      <c r="AB144" s="333">
        <v>467</v>
      </c>
      <c r="AC144" s="333">
        <v>12</v>
      </c>
      <c r="AD144" s="333"/>
      <c r="AE144" s="222"/>
      <c r="AF144" s="222"/>
      <c r="AG144" s="222"/>
      <c r="AH144" s="226"/>
      <c r="AI144" s="222"/>
      <c r="AJ144" s="223"/>
      <c r="AK144" s="123">
        <f t="shared" si="13"/>
        <v>1801</v>
      </c>
      <c r="AL144" s="125"/>
      <c r="AM144" s="111" t="s">
        <v>467</v>
      </c>
      <c r="AN144" s="72"/>
      <c r="AO144" s="72"/>
      <c r="AP144" s="72"/>
      <c r="AQ144" s="72"/>
      <c r="AR144" s="72"/>
    </row>
    <row r="145" spans="1:44" ht="12.75">
      <c r="A145" s="197">
        <v>145</v>
      </c>
      <c r="B145" s="494" t="s">
        <v>57</v>
      </c>
      <c r="C145" s="522" t="s">
        <v>122</v>
      </c>
      <c r="D145" s="15" t="s">
        <v>86</v>
      </c>
      <c r="E145" s="142">
        <v>4</v>
      </c>
      <c r="F145" s="64">
        <v>13546</v>
      </c>
      <c r="G145" s="14">
        <v>115</v>
      </c>
      <c r="H145" s="51"/>
      <c r="I145" s="254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17">
        <v>12</v>
      </c>
      <c r="AC145" s="17">
        <v>23</v>
      </c>
      <c r="AD145" s="407">
        <f>1235-AE145</f>
        <v>376</v>
      </c>
      <c r="AE145" s="59">
        <v>859</v>
      </c>
      <c r="AF145" s="17">
        <v>5</v>
      </c>
      <c r="AG145" s="253"/>
      <c r="AH145" s="253"/>
      <c r="AI145" s="253"/>
      <c r="AJ145" s="256"/>
      <c r="AK145" s="123">
        <f>SUM(I145:AJ145)</f>
        <v>1275</v>
      </c>
      <c r="AL145" s="125"/>
      <c r="AM145" s="119" t="s">
        <v>320</v>
      </c>
      <c r="AN145" s="72"/>
      <c r="AO145" s="72"/>
      <c r="AP145" s="72"/>
      <c r="AQ145" s="72"/>
      <c r="AR145" s="72"/>
    </row>
    <row r="146" spans="1:44" ht="12.75">
      <c r="A146" s="414">
        <v>146</v>
      </c>
      <c r="B146" s="494" t="s">
        <v>54</v>
      </c>
      <c r="C146" s="522" t="s">
        <v>121</v>
      </c>
      <c r="D146" s="15" t="s">
        <v>88</v>
      </c>
      <c r="E146" s="204">
        <v>12</v>
      </c>
      <c r="F146" s="16">
        <v>45861</v>
      </c>
      <c r="G146" s="35">
        <v>400</v>
      </c>
      <c r="H146" s="51"/>
      <c r="I146" s="224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226"/>
      <c r="X146" s="41"/>
      <c r="Y146" s="41"/>
      <c r="Z146" s="41">
        <v>2</v>
      </c>
      <c r="AA146" s="41"/>
      <c r="AB146" s="17">
        <v>67</v>
      </c>
      <c r="AC146" s="17">
        <v>526</v>
      </c>
      <c r="AD146" s="58">
        <f>530-AE146</f>
        <v>390</v>
      </c>
      <c r="AE146" s="54">
        <v>140</v>
      </c>
      <c r="AG146" s="5"/>
      <c r="AH146" s="18">
        <v>7</v>
      </c>
      <c r="AI146" s="41"/>
      <c r="AJ146" s="225"/>
      <c r="AK146" s="123">
        <f t="shared" si="13"/>
        <v>1132</v>
      </c>
      <c r="AL146" s="125"/>
      <c r="AM146" s="111" t="s">
        <v>271</v>
      </c>
      <c r="AN146" s="72"/>
      <c r="AO146" s="72"/>
      <c r="AP146" s="72"/>
      <c r="AQ146" s="72"/>
      <c r="AR146" s="72"/>
    </row>
    <row r="147" spans="1:44" ht="12.75">
      <c r="A147" s="197">
        <v>147</v>
      </c>
      <c r="B147" s="299" t="s">
        <v>259</v>
      </c>
      <c r="C147" s="101" t="s">
        <v>101</v>
      </c>
      <c r="D147" s="274" t="s">
        <v>93</v>
      </c>
      <c r="E147" s="101"/>
      <c r="F147" s="159"/>
      <c r="G147" s="102"/>
      <c r="H147" s="162">
        <f aca="true" t="shared" si="16" ref="H147:AJ147">SUM(H135:H146)</f>
        <v>3</v>
      </c>
      <c r="I147" s="162">
        <f t="shared" si="16"/>
        <v>0</v>
      </c>
      <c r="J147" s="162">
        <f t="shared" si="16"/>
        <v>3</v>
      </c>
      <c r="K147" s="162">
        <f t="shared" si="16"/>
        <v>10</v>
      </c>
      <c r="L147" s="162">
        <f t="shared" si="16"/>
        <v>12</v>
      </c>
      <c r="M147" s="162">
        <f t="shared" si="16"/>
        <v>13</v>
      </c>
      <c r="N147" s="162">
        <f t="shared" si="16"/>
        <v>61</v>
      </c>
      <c r="O147" s="162">
        <f t="shared" si="16"/>
        <v>15</v>
      </c>
      <c r="P147" s="162">
        <f t="shared" si="16"/>
        <v>15</v>
      </c>
      <c r="Q147" s="162">
        <f t="shared" si="16"/>
        <v>15</v>
      </c>
      <c r="R147" s="162">
        <f t="shared" si="16"/>
        <v>15</v>
      </c>
      <c r="S147" s="162">
        <f t="shared" si="16"/>
        <v>15</v>
      </c>
      <c r="T147" s="162">
        <f t="shared" si="16"/>
        <v>3</v>
      </c>
      <c r="U147" s="162">
        <f t="shared" si="16"/>
        <v>0</v>
      </c>
      <c r="V147" s="162">
        <f t="shared" si="16"/>
        <v>5</v>
      </c>
      <c r="W147" s="162">
        <f t="shared" si="16"/>
        <v>28</v>
      </c>
      <c r="X147" s="162">
        <f t="shared" si="16"/>
        <v>166</v>
      </c>
      <c r="Y147" s="162">
        <f t="shared" si="16"/>
        <v>501</v>
      </c>
      <c r="Z147" s="162">
        <f t="shared" si="16"/>
        <v>1157</v>
      </c>
      <c r="AA147" s="162">
        <f t="shared" si="16"/>
        <v>2565</v>
      </c>
      <c r="AB147" s="162">
        <f t="shared" si="16"/>
        <v>4196</v>
      </c>
      <c r="AC147" s="162">
        <f t="shared" si="16"/>
        <v>4271</v>
      </c>
      <c r="AD147" s="162">
        <f>SUM(AD135:AD146)</f>
        <v>1807</v>
      </c>
      <c r="AE147" s="162">
        <f t="shared" si="16"/>
        <v>4145</v>
      </c>
      <c r="AF147" s="162">
        <f t="shared" si="16"/>
        <v>3365</v>
      </c>
      <c r="AG147" s="162">
        <f t="shared" si="16"/>
        <v>273</v>
      </c>
      <c r="AH147" s="162">
        <f t="shared" si="16"/>
        <v>1067</v>
      </c>
      <c r="AI147" s="162">
        <f t="shared" si="16"/>
        <v>1666</v>
      </c>
      <c r="AJ147" s="162">
        <f t="shared" si="16"/>
        <v>67</v>
      </c>
      <c r="AK147" s="126">
        <f t="shared" si="13"/>
        <v>25456</v>
      </c>
      <c r="AL147" s="338">
        <f>AL134-AK147</f>
        <v>118205</v>
      </c>
      <c r="AM147" s="121"/>
      <c r="AN147" s="183"/>
      <c r="AO147" s="183"/>
      <c r="AP147" s="183"/>
      <c r="AQ147" s="183"/>
      <c r="AR147" s="183"/>
    </row>
    <row r="148" spans="1:44" ht="12.75">
      <c r="A148" s="414">
        <v>148</v>
      </c>
      <c r="B148" s="299" t="s">
        <v>260</v>
      </c>
      <c r="C148" s="101" t="s">
        <v>101</v>
      </c>
      <c r="D148" s="274" t="s">
        <v>93</v>
      </c>
      <c r="E148" s="339"/>
      <c r="F148" s="370"/>
      <c r="G148" s="102"/>
      <c r="H148" s="81">
        <f aca="true" t="shared" si="17" ref="H148:AJ148">H147+H134</f>
        <v>3</v>
      </c>
      <c r="I148" s="81">
        <f t="shared" si="17"/>
        <v>0</v>
      </c>
      <c r="J148" s="81">
        <f t="shared" si="17"/>
        <v>3</v>
      </c>
      <c r="K148" s="81">
        <f t="shared" si="17"/>
        <v>10</v>
      </c>
      <c r="L148" s="81">
        <f t="shared" si="17"/>
        <v>12</v>
      </c>
      <c r="M148" s="81">
        <f t="shared" si="17"/>
        <v>43</v>
      </c>
      <c r="N148" s="81">
        <f t="shared" si="17"/>
        <v>111</v>
      </c>
      <c r="O148" s="81">
        <f t="shared" si="17"/>
        <v>85</v>
      </c>
      <c r="P148" s="81">
        <f t="shared" si="17"/>
        <v>165</v>
      </c>
      <c r="Q148" s="81">
        <f t="shared" si="17"/>
        <v>172</v>
      </c>
      <c r="R148" s="81">
        <f t="shared" si="17"/>
        <v>246</v>
      </c>
      <c r="S148" s="81">
        <f t="shared" si="17"/>
        <v>523</v>
      </c>
      <c r="T148" s="81">
        <f t="shared" si="17"/>
        <v>621</v>
      </c>
      <c r="U148" s="81">
        <f t="shared" si="17"/>
        <v>488</v>
      </c>
      <c r="V148" s="81">
        <f t="shared" si="17"/>
        <v>2108</v>
      </c>
      <c r="W148" s="81">
        <f t="shared" si="17"/>
        <v>10623</v>
      </c>
      <c r="X148" s="81">
        <f t="shared" si="17"/>
        <v>20638</v>
      </c>
      <c r="Y148" s="81">
        <f t="shared" si="17"/>
        <v>29560</v>
      </c>
      <c r="Z148" s="81">
        <f t="shared" si="17"/>
        <v>16712</v>
      </c>
      <c r="AA148" s="81">
        <f t="shared" si="17"/>
        <v>21665</v>
      </c>
      <c r="AB148" s="81">
        <f t="shared" si="17"/>
        <v>26996</v>
      </c>
      <c r="AC148" s="81">
        <f t="shared" si="17"/>
        <v>27971</v>
      </c>
      <c r="AD148" s="81">
        <f t="shared" si="17"/>
        <v>11050</v>
      </c>
      <c r="AE148" s="81">
        <f t="shared" si="17"/>
        <v>5695</v>
      </c>
      <c r="AF148" s="81">
        <f t="shared" si="17"/>
        <v>3765</v>
      </c>
      <c r="AG148" s="81">
        <f t="shared" si="17"/>
        <v>1023</v>
      </c>
      <c r="AH148" s="81">
        <f t="shared" si="17"/>
        <v>3531</v>
      </c>
      <c r="AI148" s="81">
        <f t="shared" si="17"/>
        <v>7166</v>
      </c>
      <c r="AJ148" s="81">
        <f t="shared" si="17"/>
        <v>4767</v>
      </c>
      <c r="AK148" s="366">
        <f t="shared" si="13"/>
        <v>195749</v>
      </c>
      <c r="AL148" s="338"/>
      <c r="AM148" s="121"/>
      <c r="AN148" s="183"/>
      <c r="AO148" s="183"/>
      <c r="AP148" s="183"/>
      <c r="AQ148" s="183"/>
      <c r="AR148" s="183"/>
    </row>
    <row r="149" spans="1:44" ht="12.75">
      <c r="A149" s="197">
        <v>149</v>
      </c>
      <c r="B149" s="299" t="s">
        <v>261</v>
      </c>
      <c r="C149" s="101" t="s">
        <v>101</v>
      </c>
      <c r="D149" s="274" t="s">
        <v>96</v>
      </c>
      <c r="E149" s="339"/>
      <c r="F149" s="370"/>
      <c r="G149" s="102"/>
      <c r="H149" s="81">
        <f aca="true" t="shared" si="18" ref="H149:AJ149">H118+H134</f>
        <v>0</v>
      </c>
      <c r="I149" s="81">
        <f t="shared" si="18"/>
        <v>0</v>
      </c>
      <c r="J149" s="81">
        <f t="shared" si="18"/>
        <v>0</v>
      </c>
      <c r="K149" s="81">
        <f t="shared" si="18"/>
        <v>1</v>
      </c>
      <c r="L149" s="81">
        <f t="shared" si="18"/>
        <v>71</v>
      </c>
      <c r="M149" s="81">
        <f t="shared" si="18"/>
        <v>200</v>
      </c>
      <c r="N149" s="81">
        <f t="shared" si="18"/>
        <v>320</v>
      </c>
      <c r="O149" s="81">
        <f t="shared" si="18"/>
        <v>580</v>
      </c>
      <c r="P149" s="81">
        <f t="shared" si="18"/>
        <v>639</v>
      </c>
      <c r="Q149" s="81">
        <f t="shared" si="18"/>
        <v>937</v>
      </c>
      <c r="R149" s="81">
        <f t="shared" si="18"/>
        <v>2731</v>
      </c>
      <c r="S149" s="81">
        <f t="shared" si="18"/>
        <v>6761</v>
      </c>
      <c r="T149" s="81">
        <f t="shared" si="18"/>
        <v>29131</v>
      </c>
      <c r="U149" s="81">
        <f t="shared" si="18"/>
        <v>56420</v>
      </c>
      <c r="V149" s="81">
        <f t="shared" si="18"/>
        <v>79552</v>
      </c>
      <c r="W149" s="81">
        <f t="shared" si="18"/>
        <v>94442</v>
      </c>
      <c r="X149" s="81">
        <f t="shared" si="18"/>
        <v>112208</v>
      </c>
      <c r="Y149" s="81">
        <f t="shared" si="18"/>
        <v>112425</v>
      </c>
      <c r="Z149" s="81">
        <f t="shared" si="18"/>
        <v>51160</v>
      </c>
      <c r="AA149" s="81">
        <f t="shared" si="18"/>
        <v>49100</v>
      </c>
      <c r="AB149" s="81">
        <f t="shared" si="18"/>
        <v>47300</v>
      </c>
      <c r="AC149" s="81">
        <f t="shared" si="18"/>
        <v>30113</v>
      </c>
      <c r="AD149" s="81">
        <f t="shared" si="18"/>
        <v>9243</v>
      </c>
      <c r="AE149" s="81">
        <f t="shared" si="18"/>
        <v>1550</v>
      </c>
      <c r="AF149" s="81">
        <f t="shared" si="18"/>
        <v>400</v>
      </c>
      <c r="AG149" s="81">
        <f t="shared" si="18"/>
        <v>750</v>
      </c>
      <c r="AH149" s="81">
        <f t="shared" si="18"/>
        <v>2714</v>
      </c>
      <c r="AI149" s="81">
        <f t="shared" si="18"/>
        <v>7500</v>
      </c>
      <c r="AJ149" s="81">
        <f t="shared" si="18"/>
        <v>4700</v>
      </c>
      <c r="AK149" s="366">
        <f t="shared" si="13"/>
        <v>700948</v>
      </c>
      <c r="AL149" s="338"/>
      <c r="AM149" s="121"/>
      <c r="AN149" s="183"/>
      <c r="AO149" s="183"/>
      <c r="AP149" s="183"/>
      <c r="AQ149" s="183"/>
      <c r="AR149" s="183"/>
    </row>
    <row r="150" spans="1:44" ht="12.75">
      <c r="A150" s="414">
        <v>150</v>
      </c>
      <c r="B150" s="365" t="s">
        <v>145</v>
      </c>
      <c r="C150" s="94" t="s">
        <v>78</v>
      </c>
      <c r="D150" s="274" t="s">
        <v>96</v>
      </c>
      <c r="E150" s="285"/>
      <c r="F150" s="285"/>
      <c r="G150" s="95"/>
      <c r="H150" s="290"/>
      <c r="I150" s="291"/>
      <c r="J150" s="291"/>
      <c r="K150" s="291"/>
      <c r="L150" s="292">
        <v>2</v>
      </c>
      <c r="M150" s="292">
        <v>11</v>
      </c>
      <c r="N150" s="292">
        <v>600</v>
      </c>
      <c r="O150" s="292">
        <v>900</v>
      </c>
      <c r="P150" s="292">
        <v>900</v>
      </c>
      <c r="Q150" s="292">
        <v>1272</v>
      </c>
      <c r="R150" s="211">
        <v>3300</v>
      </c>
      <c r="S150" s="211">
        <v>9100</v>
      </c>
      <c r="T150" s="211">
        <v>37900</v>
      </c>
      <c r="U150" s="211">
        <v>48925</v>
      </c>
      <c r="V150" s="211">
        <v>73700</v>
      </c>
      <c r="W150" s="211">
        <v>94000</v>
      </c>
      <c r="X150" s="211">
        <v>112600</v>
      </c>
      <c r="Y150" s="211">
        <v>112900</v>
      </c>
      <c r="Z150" s="211">
        <v>51976</v>
      </c>
      <c r="AA150" s="211">
        <v>49200</v>
      </c>
      <c r="AB150" s="211">
        <v>48100</v>
      </c>
      <c r="AC150" s="211">
        <v>31649</v>
      </c>
      <c r="AD150" s="449">
        <v>13500</v>
      </c>
      <c r="AE150" s="449"/>
      <c r="AF150" s="449"/>
      <c r="AG150" s="449"/>
      <c r="AH150" s="449"/>
      <c r="AI150" s="292">
        <v>7700</v>
      </c>
      <c r="AJ150" s="448">
        <v>13300</v>
      </c>
      <c r="AK150" s="366">
        <f>SUM(I150:AJ150)</f>
        <v>711535</v>
      </c>
      <c r="AL150" s="180"/>
      <c r="AM150" s="181" t="s">
        <v>263</v>
      </c>
      <c r="AN150" s="286"/>
      <c r="AO150" s="286"/>
      <c r="AP150" s="286"/>
      <c r="AQ150" s="286"/>
      <c r="AR150" s="286"/>
    </row>
    <row r="151" spans="1:44" ht="12.75">
      <c r="A151" s="197">
        <v>151</v>
      </c>
      <c r="B151" s="289" t="s">
        <v>145</v>
      </c>
      <c r="C151" s="84" t="s">
        <v>78</v>
      </c>
      <c r="D151" s="451" t="s">
        <v>96</v>
      </c>
      <c r="E151" s="84"/>
      <c r="F151" s="84"/>
      <c r="G151" s="85"/>
      <c r="H151" s="504"/>
      <c r="I151" s="505"/>
      <c r="J151" s="505"/>
      <c r="K151" s="505"/>
      <c r="L151" s="506">
        <v>2</v>
      </c>
      <c r="M151" s="506">
        <v>11</v>
      </c>
      <c r="N151" s="507">
        <v>600</v>
      </c>
      <c r="O151" s="506">
        <v>637</v>
      </c>
      <c r="P151" s="508">
        <f>2150-O151-N151-M151-L151</f>
        <v>900</v>
      </c>
      <c r="Q151" s="87">
        <v>1300</v>
      </c>
      <c r="R151" s="87">
        <v>3200</v>
      </c>
      <c r="S151" s="87">
        <v>9097</v>
      </c>
      <c r="T151" s="87">
        <v>38108</v>
      </c>
      <c r="U151" s="87">
        <v>50600</v>
      </c>
      <c r="V151" s="87">
        <v>78104</v>
      </c>
      <c r="W151" s="87">
        <v>90776</v>
      </c>
      <c r="X151" s="87">
        <v>113566</v>
      </c>
      <c r="Y151" s="87">
        <v>119900</v>
      </c>
      <c r="Z151" s="509"/>
      <c r="AA151" s="509"/>
      <c r="AB151" s="509"/>
      <c r="AC151" s="87">
        <v>31600</v>
      </c>
      <c r="AD151" s="509"/>
      <c r="AE151" s="509"/>
      <c r="AF151" s="509"/>
      <c r="AG151" s="509"/>
      <c r="AH151" s="509"/>
      <c r="AI151" s="509"/>
      <c r="AJ151" s="510"/>
      <c r="AK151" s="128">
        <f>SUM(I151:AJ151)</f>
        <v>538401</v>
      </c>
      <c r="AL151" s="129"/>
      <c r="AM151" s="511" t="s">
        <v>262</v>
      </c>
      <c r="AN151" s="452"/>
      <c r="AO151" s="452"/>
      <c r="AP151" s="452"/>
      <c r="AQ151" s="452"/>
      <c r="AR151" s="452"/>
    </row>
    <row r="152" spans="1:44" ht="13.5" thickBot="1">
      <c r="A152" s="414">
        <v>152</v>
      </c>
      <c r="B152" s="190" t="s">
        <v>145</v>
      </c>
      <c r="C152" s="145" t="s">
        <v>78</v>
      </c>
      <c r="D152" s="293" t="s">
        <v>96</v>
      </c>
      <c r="E152" s="145"/>
      <c r="F152" s="145"/>
      <c r="G152" s="146"/>
      <c r="H152" s="238"/>
      <c r="I152" s="193"/>
      <c r="J152" s="193"/>
      <c r="K152" s="193"/>
      <c r="L152" s="193"/>
      <c r="M152" s="193"/>
      <c r="N152" s="193"/>
      <c r="O152" s="193"/>
      <c r="P152" s="193"/>
      <c r="Q152" s="194">
        <v>1282</v>
      </c>
      <c r="R152" s="194">
        <v>3281</v>
      </c>
      <c r="S152" s="194">
        <v>9097</v>
      </c>
      <c r="T152" s="194">
        <v>38105</v>
      </c>
      <c r="U152" s="194">
        <v>50640</v>
      </c>
      <c r="V152" s="194">
        <v>78138</v>
      </c>
      <c r="W152" s="194">
        <v>94452</v>
      </c>
      <c r="X152" s="194">
        <v>113566</v>
      </c>
      <c r="Y152" s="194">
        <v>112416</v>
      </c>
      <c r="Z152" s="194">
        <v>51150</v>
      </c>
      <c r="AA152" s="194"/>
      <c r="AB152" s="194"/>
      <c r="AC152" s="294">
        <v>31100</v>
      </c>
      <c r="AD152" s="294">
        <f>28000-AE152</f>
        <v>28000</v>
      </c>
      <c r="AE152" s="194"/>
      <c r="AF152" s="194"/>
      <c r="AG152" s="194"/>
      <c r="AH152" s="194"/>
      <c r="AI152" s="194">
        <v>17908</v>
      </c>
      <c r="AJ152" s="515">
        <v>30802</v>
      </c>
      <c r="AK152" s="147"/>
      <c r="AL152" s="148"/>
      <c r="AM152" s="514" t="s">
        <v>476</v>
      </c>
      <c r="AN152" s="150"/>
      <c r="AO152" s="150"/>
      <c r="AP152" s="150"/>
      <c r="AQ152" s="150"/>
      <c r="AR152" s="150"/>
    </row>
    <row r="153" spans="1:44" ht="12.75">
      <c r="A153" s="197">
        <v>153</v>
      </c>
      <c r="B153" s="289" t="s">
        <v>95</v>
      </c>
      <c r="C153" s="94"/>
      <c r="D153" s="94" t="s">
        <v>101</v>
      </c>
      <c r="E153" s="94"/>
      <c r="F153" s="512" t="s">
        <v>96</v>
      </c>
      <c r="G153" s="95"/>
      <c r="H153" s="513">
        <f aca="true" t="shared" si="19" ref="H153:AJ153">H149+H147</f>
        <v>3</v>
      </c>
      <c r="I153" s="513">
        <f t="shared" si="19"/>
        <v>0</v>
      </c>
      <c r="J153" s="513">
        <f t="shared" si="19"/>
        <v>3</v>
      </c>
      <c r="K153" s="513">
        <f t="shared" si="19"/>
        <v>11</v>
      </c>
      <c r="L153" s="513">
        <f t="shared" si="19"/>
        <v>83</v>
      </c>
      <c r="M153" s="513">
        <f t="shared" si="19"/>
        <v>213</v>
      </c>
      <c r="N153" s="513">
        <f t="shared" si="19"/>
        <v>381</v>
      </c>
      <c r="O153" s="513">
        <f t="shared" si="19"/>
        <v>595</v>
      </c>
      <c r="P153" s="513">
        <f t="shared" si="19"/>
        <v>654</v>
      </c>
      <c r="Q153" s="513">
        <f t="shared" si="19"/>
        <v>952</v>
      </c>
      <c r="R153" s="513">
        <f t="shared" si="19"/>
        <v>2746</v>
      </c>
      <c r="S153" s="513">
        <f t="shared" si="19"/>
        <v>6776</v>
      </c>
      <c r="T153" s="513">
        <f t="shared" si="19"/>
        <v>29134</v>
      </c>
      <c r="U153" s="513">
        <f t="shared" si="19"/>
        <v>56420</v>
      </c>
      <c r="V153" s="513">
        <f t="shared" si="19"/>
        <v>79557</v>
      </c>
      <c r="W153" s="513">
        <f t="shared" si="19"/>
        <v>94470</v>
      </c>
      <c r="X153" s="513">
        <f t="shared" si="19"/>
        <v>112374</v>
      </c>
      <c r="Y153" s="513">
        <f t="shared" si="19"/>
        <v>112926</v>
      </c>
      <c r="Z153" s="513">
        <f t="shared" si="19"/>
        <v>52317</v>
      </c>
      <c r="AA153" s="513">
        <f t="shared" si="19"/>
        <v>51665</v>
      </c>
      <c r="AB153" s="513">
        <f t="shared" si="19"/>
        <v>51496</v>
      </c>
      <c r="AC153" s="513">
        <f t="shared" si="19"/>
        <v>34384</v>
      </c>
      <c r="AD153" s="513">
        <f t="shared" si="19"/>
        <v>11050</v>
      </c>
      <c r="AE153" s="513">
        <f t="shared" si="19"/>
        <v>5695</v>
      </c>
      <c r="AF153" s="513">
        <f t="shared" si="19"/>
        <v>3765</v>
      </c>
      <c r="AG153" s="513">
        <f t="shared" si="19"/>
        <v>1023</v>
      </c>
      <c r="AH153" s="513">
        <f t="shared" si="19"/>
        <v>3781</v>
      </c>
      <c r="AI153" s="513">
        <f t="shared" si="19"/>
        <v>9166</v>
      </c>
      <c r="AJ153" s="513">
        <f t="shared" si="19"/>
        <v>4767</v>
      </c>
      <c r="AK153" s="179">
        <f>SUM(H153:AJ153)</f>
        <v>726407</v>
      </c>
      <c r="AL153" s="180"/>
      <c r="AM153" s="181"/>
      <c r="AN153" s="286"/>
      <c r="AO153" s="286"/>
      <c r="AP153" s="286"/>
      <c r="AQ153" s="286"/>
      <c r="AR153" s="286"/>
    </row>
    <row r="154" spans="1:44" ht="13.5" thickBot="1">
      <c r="A154" s="414">
        <v>154</v>
      </c>
      <c r="B154" s="190"/>
      <c r="C154" s="453"/>
      <c r="D154" s="145"/>
      <c r="E154" s="453"/>
      <c r="F154" s="454"/>
      <c r="G154" s="146"/>
      <c r="H154" s="294"/>
      <c r="I154" s="294"/>
      <c r="J154" s="294"/>
      <c r="K154" s="294"/>
      <c r="L154" s="294"/>
      <c r="M154" s="294"/>
      <c r="N154" s="294"/>
      <c r="O154" s="294"/>
      <c r="P154" s="239">
        <v>2849</v>
      </c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455"/>
      <c r="AK154" s="147"/>
      <c r="AL154" s="148"/>
      <c r="AM154" s="149"/>
      <c r="AN154" s="150"/>
      <c r="AO154" s="150"/>
      <c r="AP154" s="150"/>
      <c r="AQ154" s="150"/>
      <c r="AR154" s="150"/>
    </row>
    <row r="155" spans="1:44" ht="13.5" thickBot="1">
      <c r="A155" s="197">
        <v>155</v>
      </c>
      <c r="B155" s="184" t="s">
        <v>8</v>
      </c>
      <c r="C155" s="185" t="s">
        <v>233</v>
      </c>
      <c r="D155" s="184" t="s">
        <v>7</v>
      </c>
      <c r="E155" s="185" t="s">
        <v>6</v>
      </c>
      <c r="F155" s="269" t="s">
        <v>5</v>
      </c>
      <c r="G155" s="186" t="s">
        <v>4</v>
      </c>
      <c r="H155" s="185">
        <v>19</v>
      </c>
      <c r="I155" s="185">
        <v>20</v>
      </c>
      <c r="J155" s="185">
        <v>21</v>
      </c>
      <c r="K155" s="185">
        <v>22</v>
      </c>
      <c r="L155" s="185">
        <v>23</v>
      </c>
      <c r="M155" s="185">
        <v>24</v>
      </c>
      <c r="N155" s="134">
        <v>1925</v>
      </c>
      <c r="O155" s="134">
        <v>1926</v>
      </c>
      <c r="P155" s="184">
        <v>1927</v>
      </c>
      <c r="Q155" s="184">
        <v>1928</v>
      </c>
      <c r="R155" s="184">
        <v>1929</v>
      </c>
      <c r="S155" s="184">
        <v>1930</v>
      </c>
      <c r="T155" s="184">
        <v>1931</v>
      </c>
      <c r="U155" s="184">
        <v>1932</v>
      </c>
      <c r="V155" s="184">
        <v>1933</v>
      </c>
      <c r="W155" s="184">
        <v>1934</v>
      </c>
      <c r="X155" s="184">
        <v>1935</v>
      </c>
      <c r="Y155" s="184">
        <v>1936</v>
      </c>
      <c r="Z155" s="184">
        <v>1937</v>
      </c>
      <c r="AA155" s="184">
        <v>1938</v>
      </c>
      <c r="AB155" s="184">
        <v>1939</v>
      </c>
      <c r="AC155" s="184">
        <v>1940</v>
      </c>
      <c r="AD155" s="184" t="s">
        <v>44</v>
      </c>
      <c r="AE155" s="184" t="s">
        <v>43</v>
      </c>
      <c r="AF155" s="184">
        <v>1942</v>
      </c>
      <c r="AG155" s="184">
        <v>1943</v>
      </c>
      <c r="AH155" s="184">
        <v>1944</v>
      </c>
      <c r="AI155" s="184">
        <v>1945</v>
      </c>
      <c r="AJ155" s="187">
        <v>1946</v>
      </c>
      <c r="AK155" s="281" t="s">
        <v>1</v>
      </c>
      <c r="AL155" s="296" t="s">
        <v>75</v>
      </c>
      <c r="AM155" s="188" t="s">
        <v>76</v>
      </c>
      <c r="AN155" s="189"/>
      <c r="AO155" s="189"/>
      <c r="AP155" s="189"/>
      <c r="AQ155" s="189"/>
      <c r="AR155" s="189"/>
    </row>
    <row r="156" spans="1:44" ht="12.75">
      <c r="A156" s="414">
        <v>156</v>
      </c>
      <c r="B156" s="42" t="s">
        <v>77</v>
      </c>
      <c r="C156" s="21"/>
      <c r="D156" s="21"/>
      <c r="E156" s="21"/>
      <c r="F156" s="8"/>
      <c r="G156" s="7"/>
      <c r="H156" s="56"/>
      <c r="I156" s="221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3"/>
      <c r="AK156" s="133"/>
      <c r="AL156" s="124"/>
      <c r="AM156" s="110"/>
      <c r="AN156" s="72"/>
      <c r="AO156" s="72"/>
      <c r="AP156" s="72"/>
      <c r="AQ156" s="72"/>
      <c r="AR156" s="72"/>
    </row>
    <row r="157" spans="1:44" ht="12.75">
      <c r="A157" s="197">
        <v>157</v>
      </c>
      <c r="B157" s="42" t="s">
        <v>194</v>
      </c>
      <c r="C157" s="21"/>
      <c r="D157" s="21"/>
      <c r="E157" s="21"/>
      <c r="F157" s="8"/>
      <c r="G157" s="7"/>
      <c r="H157" s="56"/>
      <c r="I157" s="221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3"/>
      <c r="AK157" s="133"/>
      <c r="AL157" s="124"/>
      <c r="AM157" s="110"/>
      <c r="AN157" s="72"/>
      <c r="AO157" s="72"/>
      <c r="AP157" s="72"/>
      <c r="AQ157" s="72"/>
      <c r="AR157" s="72"/>
    </row>
    <row r="158" spans="1:44" ht="12.75">
      <c r="A158" s="414">
        <v>158</v>
      </c>
      <c r="B158" s="307" t="s">
        <v>52</v>
      </c>
      <c r="C158" s="315" t="s">
        <v>162</v>
      </c>
      <c r="D158" s="21">
        <v>1.5</v>
      </c>
      <c r="E158" s="21">
        <v>4</v>
      </c>
      <c r="F158" s="16">
        <v>3287</v>
      </c>
      <c r="G158" s="7">
        <v>40</v>
      </c>
      <c r="H158" s="56"/>
      <c r="I158" s="221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333">
        <v>25</v>
      </c>
      <c r="U158" s="333">
        <v>10</v>
      </c>
      <c r="V158" s="333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3"/>
      <c r="AK158" s="123">
        <f aca="true" t="shared" si="20" ref="AK156:AK178">SUM(I158:AJ158)</f>
        <v>35</v>
      </c>
      <c r="AL158" s="124"/>
      <c r="AM158" s="110" t="s">
        <v>482</v>
      </c>
      <c r="AN158" s="72"/>
      <c r="AO158" s="72"/>
      <c r="AP158" s="72"/>
      <c r="AQ158" s="72"/>
      <c r="AR158" s="72"/>
    </row>
    <row r="159" spans="1:44" ht="12.75">
      <c r="A159" s="197">
        <v>159</v>
      </c>
      <c r="B159" s="307" t="s">
        <v>51</v>
      </c>
      <c r="C159" s="315" t="s">
        <v>162</v>
      </c>
      <c r="D159" s="21">
        <v>1.75</v>
      </c>
      <c r="E159" s="21">
        <v>4</v>
      </c>
      <c r="F159" s="16">
        <v>3287</v>
      </c>
      <c r="G159" s="7">
        <v>40</v>
      </c>
      <c r="H159" s="56"/>
      <c r="I159" s="221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333">
        <v>25</v>
      </c>
      <c r="U159" s="333"/>
      <c r="V159" s="333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3"/>
      <c r="AK159" s="123">
        <f>SUM(I159:AJ159)</f>
        <v>25</v>
      </c>
      <c r="AL159" s="124"/>
      <c r="AM159" s="110" t="s">
        <v>483</v>
      </c>
      <c r="AN159" s="72"/>
      <c r="AO159" s="72"/>
      <c r="AP159" s="72"/>
      <c r="AQ159" s="72"/>
      <c r="AR159" s="72"/>
    </row>
    <row r="160" spans="1:44" ht="12.75">
      <c r="A160" s="414">
        <v>160</v>
      </c>
      <c r="B160" s="307" t="s">
        <v>50</v>
      </c>
      <c r="C160" s="315" t="s">
        <v>162</v>
      </c>
      <c r="D160" s="21">
        <v>2.28</v>
      </c>
      <c r="E160" s="21">
        <v>4</v>
      </c>
      <c r="F160" s="16">
        <v>3287</v>
      </c>
      <c r="G160" s="7">
        <v>40</v>
      </c>
      <c r="H160" s="56"/>
      <c r="I160" s="221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333">
        <v>1</v>
      </c>
      <c r="V160" s="333"/>
      <c r="W160" s="333">
        <v>135</v>
      </c>
      <c r="X160" s="333">
        <v>452</v>
      </c>
      <c r="Y160" s="333">
        <v>110</v>
      </c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3"/>
      <c r="AK160" s="123">
        <f t="shared" si="20"/>
        <v>698</v>
      </c>
      <c r="AL160" s="124"/>
      <c r="AM160" s="110" t="s">
        <v>244</v>
      </c>
      <c r="AN160" s="72"/>
      <c r="AO160" s="72"/>
      <c r="AP160" s="72"/>
      <c r="AQ160" s="72"/>
      <c r="AR160" s="72"/>
    </row>
    <row r="161" spans="1:44" ht="12.75">
      <c r="A161" s="197">
        <v>161</v>
      </c>
      <c r="B161" s="309" t="s">
        <v>49</v>
      </c>
      <c r="C161" s="314" t="s">
        <v>162</v>
      </c>
      <c r="D161" s="21">
        <v>2.3</v>
      </c>
      <c r="E161" s="21">
        <v>4</v>
      </c>
      <c r="F161" s="16">
        <v>3260</v>
      </c>
      <c r="G161" s="7">
        <v>50</v>
      </c>
      <c r="H161" s="56"/>
      <c r="I161" s="221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333">
        <v>35</v>
      </c>
      <c r="Z161" s="333">
        <v>253</v>
      </c>
      <c r="AA161" s="333">
        <v>330</v>
      </c>
      <c r="AB161" s="542">
        <f>335-AB162</f>
        <v>231</v>
      </c>
      <c r="AC161" s="222"/>
      <c r="AD161" s="222"/>
      <c r="AE161" s="222"/>
      <c r="AF161" s="222"/>
      <c r="AG161" s="31"/>
      <c r="AH161" s="31"/>
      <c r="AI161" s="31"/>
      <c r="AJ161" s="223"/>
      <c r="AK161" s="123">
        <f t="shared" si="20"/>
        <v>849</v>
      </c>
      <c r="AL161" s="125"/>
      <c r="AM161" s="111" t="s">
        <v>246</v>
      </c>
      <c r="AN161" s="72"/>
      <c r="AO161" s="72"/>
      <c r="AP161" s="72"/>
      <c r="AQ161" s="72"/>
      <c r="AR161" s="72"/>
    </row>
    <row r="162" spans="1:44" ht="12.75">
      <c r="A162" s="414">
        <v>162</v>
      </c>
      <c r="B162" s="306" t="s">
        <v>228</v>
      </c>
      <c r="C162" s="314" t="s">
        <v>162</v>
      </c>
      <c r="D162" s="19">
        <v>2.5</v>
      </c>
      <c r="E162" s="19">
        <v>6</v>
      </c>
      <c r="F162" s="198">
        <v>3487</v>
      </c>
      <c r="G162" s="35">
        <v>76</v>
      </c>
      <c r="H162" s="50"/>
      <c r="I162" s="224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34"/>
      <c r="AB162" s="543">
        <f>1230-AC162-AD162-AE162-AF162</f>
        <v>104</v>
      </c>
      <c r="AC162" s="257">
        <v>377</v>
      </c>
      <c r="AD162" s="257">
        <f>239+56</f>
        <v>295</v>
      </c>
      <c r="AE162" s="257">
        <v>317</v>
      </c>
      <c r="AF162" s="257">
        <v>137</v>
      </c>
      <c r="AG162" s="41"/>
      <c r="AH162" s="41"/>
      <c r="AI162" s="41"/>
      <c r="AJ162" s="225"/>
      <c r="AK162" s="123">
        <f>SUM(I162:AJ162)</f>
        <v>1230</v>
      </c>
      <c r="AL162" s="125"/>
      <c r="AM162" s="111" t="s">
        <v>245</v>
      </c>
      <c r="AN162" s="72"/>
      <c r="AO162" s="72"/>
      <c r="AP162" s="72"/>
      <c r="AQ162" s="72"/>
      <c r="AR162" s="72"/>
    </row>
    <row r="163" spans="1:44" ht="12.75">
      <c r="A163" s="197">
        <v>163</v>
      </c>
      <c r="B163" s="306" t="s">
        <v>191</v>
      </c>
      <c r="C163" s="314" t="s">
        <v>162</v>
      </c>
      <c r="D163" s="15">
        <v>2.4</v>
      </c>
      <c r="E163" s="21">
        <v>4</v>
      </c>
      <c r="F163" s="16">
        <v>3260</v>
      </c>
      <c r="G163" s="14">
        <v>50</v>
      </c>
      <c r="H163" s="51"/>
      <c r="I163" s="224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18"/>
      <c r="AF163" s="18">
        <f>2486-AF164</f>
        <v>1770</v>
      </c>
      <c r="AG163" s="18">
        <f>1415-AG164</f>
        <v>779</v>
      </c>
      <c r="AH163" s="18"/>
      <c r="AI163" s="18"/>
      <c r="AJ163" s="225"/>
      <c r="AK163" s="123">
        <f t="shared" si="20"/>
        <v>2549</v>
      </c>
      <c r="AL163" s="363">
        <f>AK163+AK164</f>
        <v>3901</v>
      </c>
      <c r="AM163" s="111" t="s">
        <v>249</v>
      </c>
      <c r="AN163" s="72"/>
      <c r="AO163" s="72"/>
      <c r="AP163" s="72"/>
      <c r="AQ163" s="72"/>
      <c r="AR163" s="72"/>
    </row>
    <row r="164" spans="1:44" ht="12.75">
      <c r="A164" s="414">
        <v>164</v>
      </c>
      <c r="B164" s="306" t="s">
        <v>361</v>
      </c>
      <c r="C164" s="314"/>
      <c r="D164" s="15">
        <v>2.4</v>
      </c>
      <c r="E164" s="21">
        <v>4</v>
      </c>
      <c r="F164" s="16">
        <v>3260</v>
      </c>
      <c r="G164" s="14">
        <v>50</v>
      </c>
      <c r="H164" s="51"/>
      <c r="I164" s="224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18"/>
      <c r="AF164" s="18">
        <f>1352-AG164</f>
        <v>716</v>
      </c>
      <c r="AG164" s="18">
        <v>636</v>
      </c>
      <c r="AH164" s="18"/>
      <c r="AI164" s="18"/>
      <c r="AJ164" s="225"/>
      <c r="AK164" s="123">
        <f>SUM(I164:AJ164)</f>
        <v>1352</v>
      </c>
      <c r="AL164" s="125"/>
      <c r="AM164" s="111" t="s">
        <v>248</v>
      </c>
      <c r="AN164" s="72"/>
      <c r="AO164" s="72"/>
      <c r="AP164" s="72"/>
      <c r="AQ164" s="72"/>
      <c r="AR164" s="72"/>
    </row>
    <row r="165" spans="1:44" ht="12.75">
      <c r="A165" s="197">
        <v>165</v>
      </c>
      <c r="B165" s="311" t="s">
        <v>192</v>
      </c>
      <c r="C165" s="332" t="s">
        <v>162</v>
      </c>
      <c r="D165" s="26">
        <v>2.43</v>
      </c>
      <c r="E165" s="26">
        <v>4</v>
      </c>
      <c r="F165" s="38">
        <v>3260</v>
      </c>
      <c r="G165" s="46">
        <v>54</v>
      </c>
      <c r="H165" s="48"/>
      <c r="I165" s="228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5"/>
      <c r="AF165" s="25"/>
      <c r="AG165" s="25">
        <f>406-AG166+1+5</f>
        <v>198</v>
      </c>
      <c r="AH165" s="25">
        <f>2950-AH166</f>
        <v>1546</v>
      </c>
      <c r="AI165" s="25">
        <f>1742-AI166</f>
        <v>1322</v>
      </c>
      <c r="AJ165" s="390">
        <v>62</v>
      </c>
      <c r="AK165" s="330">
        <f t="shared" si="20"/>
        <v>3128</v>
      </c>
      <c r="AL165" s="122"/>
      <c r="AM165" s="115" t="s">
        <v>487</v>
      </c>
      <c r="AN165" s="364"/>
      <c r="AO165" s="364"/>
      <c r="AP165" s="364"/>
      <c r="AQ165" s="364"/>
      <c r="AR165" s="72"/>
    </row>
    <row r="166" spans="1:44" ht="13.5" thickBot="1">
      <c r="A166" s="414">
        <v>166</v>
      </c>
      <c r="B166" s="458" t="s">
        <v>362</v>
      </c>
      <c r="C166" s="316"/>
      <c r="D166" s="12">
        <v>2.43</v>
      </c>
      <c r="E166" s="12">
        <v>4</v>
      </c>
      <c r="F166" s="32">
        <v>3260</v>
      </c>
      <c r="G166" s="11">
        <v>54</v>
      </c>
      <c r="H166" s="435"/>
      <c r="I166" s="224"/>
      <c r="J166" s="41"/>
      <c r="K166" s="41"/>
      <c r="L166" s="41"/>
      <c r="M166" s="41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24"/>
      <c r="AF166" s="24"/>
      <c r="AG166" s="24">
        <v>214</v>
      </c>
      <c r="AH166" s="24">
        <v>1404</v>
      </c>
      <c r="AI166" s="24">
        <v>420</v>
      </c>
      <c r="AJ166" s="258"/>
      <c r="AK166" s="131">
        <f t="shared" si="20"/>
        <v>2038</v>
      </c>
      <c r="AL166" s="132"/>
      <c r="AM166" s="120" t="s">
        <v>487</v>
      </c>
      <c r="AN166" s="73"/>
      <c r="AO166" s="73"/>
      <c r="AP166" s="73"/>
      <c r="AQ166" s="73"/>
      <c r="AR166" s="72"/>
    </row>
    <row r="167" spans="1:44" ht="12.75">
      <c r="A167" s="197">
        <v>167</v>
      </c>
      <c r="B167" s="457" t="s">
        <v>195</v>
      </c>
      <c r="C167" s="332"/>
      <c r="D167" s="26"/>
      <c r="E167" s="26"/>
      <c r="F167" s="456"/>
      <c r="G167" s="46"/>
      <c r="H167" s="51"/>
      <c r="I167" s="224"/>
      <c r="J167" s="41"/>
      <c r="K167" s="41"/>
      <c r="L167" s="41"/>
      <c r="M167" s="41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5"/>
      <c r="AF167" s="25"/>
      <c r="AG167" s="25"/>
      <c r="AH167" s="25"/>
      <c r="AI167" s="25"/>
      <c r="AJ167" s="231"/>
      <c r="AK167" s="330"/>
      <c r="AL167" s="122"/>
      <c r="AM167" s="115"/>
      <c r="AN167" s="331"/>
      <c r="AO167" s="331"/>
      <c r="AP167" s="331"/>
      <c r="AQ167" s="331"/>
      <c r="AR167" s="72"/>
    </row>
    <row r="168" spans="1:44" ht="12.75">
      <c r="A168" s="414">
        <v>168</v>
      </c>
      <c r="B168" s="306" t="s">
        <v>193</v>
      </c>
      <c r="C168" s="314" t="s">
        <v>170</v>
      </c>
      <c r="D168" s="15">
        <v>4.4</v>
      </c>
      <c r="E168" s="15">
        <v>4</v>
      </c>
      <c r="F168" s="16">
        <v>4400</v>
      </c>
      <c r="G168" s="14">
        <v>35</v>
      </c>
      <c r="H168" s="51"/>
      <c r="I168" s="224"/>
      <c r="J168" s="41"/>
      <c r="K168" s="41"/>
      <c r="L168" s="41"/>
      <c r="M168" s="41"/>
      <c r="N168" s="41"/>
      <c r="O168" s="41"/>
      <c r="P168" s="5"/>
      <c r="Q168" s="17">
        <v>55</v>
      </c>
      <c r="R168" s="17">
        <v>43</v>
      </c>
      <c r="S168" s="17">
        <v>60</v>
      </c>
      <c r="T168" s="17">
        <v>57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225"/>
      <c r="AK168" s="123">
        <f>SUM(I168:AJ168)</f>
        <v>215</v>
      </c>
      <c r="AL168" s="125"/>
      <c r="AM168" s="111" t="s">
        <v>181</v>
      </c>
      <c r="AN168" s="78"/>
      <c r="AO168" s="78"/>
      <c r="AP168" s="78"/>
      <c r="AQ168" s="78"/>
      <c r="AR168" s="72"/>
    </row>
    <row r="169" spans="1:44" ht="12.75">
      <c r="A169" s="197">
        <v>169</v>
      </c>
      <c r="B169" s="307" t="s">
        <v>180</v>
      </c>
      <c r="C169" s="315" t="s">
        <v>170</v>
      </c>
      <c r="D169" s="21">
        <v>4.14</v>
      </c>
      <c r="E169" s="21">
        <v>4</v>
      </c>
      <c r="F169" s="8">
        <v>3287</v>
      </c>
      <c r="G169" s="7">
        <v>40</v>
      </c>
      <c r="H169" s="56"/>
      <c r="I169" s="221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60">
        <v>15</v>
      </c>
      <c r="V169" s="60"/>
      <c r="W169" s="60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3"/>
      <c r="AK169" s="123">
        <f>SUM(I169:AJ169)</f>
        <v>15</v>
      </c>
      <c r="AL169" s="124"/>
      <c r="AM169" s="110" t="s">
        <v>488</v>
      </c>
      <c r="AN169" s="72"/>
      <c r="AO169" s="72"/>
      <c r="AP169" s="72"/>
      <c r="AQ169" s="72"/>
      <c r="AR169" s="72"/>
    </row>
    <row r="170" spans="1:44" ht="12.75">
      <c r="A170" s="414">
        <v>170</v>
      </c>
      <c r="B170" s="307" t="s">
        <v>247</v>
      </c>
      <c r="C170" s="315" t="s">
        <v>170</v>
      </c>
      <c r="D170" s="21">
        <v>5</v>
      </c>
      <c r="E170" s="21">
        <v>4</v>
      </c>
      <c r="F170" s="16">
        <v>3287</v>
      </c>
      <c r="G170" s="7">
        <v>40</v>
      </c>
      <c r="H170" s="56"/>
      <c r="I170" s="221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6"/>
      <c r="V170" s="31">
        <v>90</v>
      </c>
      <c r="W170" s="31">
        <v>19</v>
      </c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3"/>
      <c r="AK170" s="133">
        <f t="shared" si="20"/>
        <v>109</v>
      </c>
      <c r="AL170" s="124"/>
      <c r="AM170" s="110" t="s">
        <v>219</v>
      </c>
      <c r="AN170" s="72"/>
      <c r="AO170" s="72"/>
      <c r="AP170" s="72"/>
      <c r="AQ170" s="72"/>
      <c r="AR170" s="72"/>
    </row>
    <row r="171" spans="1:44" ht="12.75">
      <c r="A171" s="197">
        <v>171</v>
      </c>
      <c r="B171" s="306" t="s">
        <v>48</v>
      </c>
      <c r="C171" s="314" t="s">
        <v>190</v>
      </c>
      <c r="D171" s="15">
        <v>5.28</v>
      </c>
      <c r="E171" s="21">
        <v>4</v>
      </c>
      <c r="F171" s="16">
        <v>3287</v>
      </c>
      <c r="G171" s="14">
        <v>40</v>
      </c>
      <c r="H171" s="51"/>
      <c r="I171" s="224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18">
        <v>11</v>
      </c>
      <c r="W171" s="18">
        <v>80</v>
      </c>
      <c r="X171" s="18">
        <v>111</v>
      </c>
      <c r="Y171" s="18">
        <v>19</v>
      </c>
      <c r="Z171" s="18"/>
      <c r="AA171" s="18"/>
      <c r="AB171" s="41"/>
      <c r="AC171" s="41"/>
      <c r="AD171" s="41"/>
      <c r="AE171" s="41"/>
      <c r="AF171" s="41"/>
      <c r="AG171" s="41"/>
      <c r="AH171" s="41"/>
      <c r="AI171" s="41"/>
      <c r="AJ171" s="225"/>
      <c r="AK171" s="123">
        <f t="shared" si="20"/>
        <v>221</v>
      </c>
      <c r="AL171" s="125"/>
      <c r="AM171" s="111" t="s">
        <v>250</v>
      </c>
      <c r="AN171" s="72"/>
      <c r="AO171" s="72"/>
      <c r="AP171" s="72"/>
      <c r="AQ171" s="72"/>
      <c r="AR171" s="72"/>
    </row>
    <row r="172" spans="1:44" ht="12.75">
      <c r="A172" s="414">
        <v>172</v>
      </c>
      <c r="B172" s="306" t="s">
        <v>47</v>
      </c>
      <c r="C172" s="314" t="s">
        <v>190</v>
      </c>
      <c r="D172" s="15">
        <v>5.12</v>
      </c>
      <c r="E172" s="21">
        <v>4</v>
      </c>
      <c r="F172" s="16">
        <v>3287</v>
      </c>
      <c r="G172" s="14">
        <v>40</v>
      </c>
      <c r="H172" s="51"/>
      <c r="I172" s="224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18">
        <v>282</v>
      </c>
      <c r="Z172" s="18">
        <v>133</v>
      </c>
      <c r="AA172" s="18">
        <v>9</v>
      </c>
      <c r="AB172" s="18">
        <v>1</v>
      </c>
      <c r="AC172" s="5"/>
      <c r="AD172" s="5"/>
      <c r="AE172" s="41"/>
      <c r="AF172" s="41"/>
      <c r="AG172" s="41"/>
      <c r="AH172" s="41"/>
      <c r="AI172" s="41"/>
      <c r="AJ172" s="225"/>
      <c r="AK172" s="123">
        <f t="shared" si="20"/>
        <v>425</v>
      </c>
      <c r="AL172" s="125"/>
      <c r="AM172" s="111" t="s">
        <v>218</v>
      </c>
      <c r="AN172" s="72"/>
      <c r="AO172" s="72"/>
      <c r="AP172" s="72"/>
      <c r="AQ172" s="72"/>
      <c r="AR172" s="72"/>
    </row>
    <row r="173" spans="1:44" ht="12.75">
      <c r="A173" s="197">
        <v>173</v>
      </c>
      <c r="B173" s="306" t="s">
        <v>215</v>
      </c>
      <c r="C173" s="314" t="s">
        <v>216</v>
      </c>
      <c r="D173" s="15">
        <v>4</v>
      </c>
      <c r="E173" s="15">
        <v>4</v>
      </c>
      <c r="F173" s="16">
        <v>3260</v>
      </c>
      <c r="G173" s="14">
        <v>50</v>
      </c>
      <c r="H173" s="51"/>
      <c r="I173" s="224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18"/>
      <c r="Z173" s="18">
        <v>100</v>
      </c>
      <c r="AA173" s="18"/>
      <c r="AB173" s="18"/>
      <c r="AC173" s="18"/>
      <c r="AD173" s="18"/>
      <c r="AE173" s="18"/>
      <c r="AF173" s="18"/>
      <c r="AG173" s="41"/>
      <c r="AH173" s="41"/>
      <c r="AI173" s="41"/>
      <c r="AJ173" s="225"/>
      <c r="AK173" s="123">
        <f>SUM(I173:AJ173)</f>
        <v>100</v>
      </c>
      <c r="AL173" s="125"/>
      <c r="AM173" s="111" t="s">
        <v>217</v>
      </c>
      <c r="AN173" s="72"/>
      <c r="AO173" s="72"/>
      <c r="AP173" s="72"/>
      <c r="AQ173" s="72"/>
      <c r="AR173" s="72"/>
    </row>
    <row r="174" spans="1:44" ht="12.75">
      <c r="A174" s="414">
        <v>174</v>
      </c>
      <c r="B174" s="306" t="s">
        <v>46</v>
      </c>
      <c r="C174" s="314" t="s">
        <v>190</v>
      </c>
      <c r="D174" s="15">
        <v>5.1</v>
      </c>
      <c r="E174" s="15">
        <v>4</v>
      </c>
      <c r="F174" s="16">
        <v>3260</v>
      </c>
      <c r="G174" s="14">
        <v>50</v>
      </c>
      <c r="H174" s="51"/>
      <c r="I174" s="224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18">
        <v>1</v>
      </c>
      <c r="AA174" s="17">
        <v>469</v>
      </c>
      <c r="AB174" s="17">
        <v>903</v>
      </c>
      <c r="AC174" s="17">
        <v>987</v>
      </c>
      <c r="AD174" s="337">
        <f>2980-AC174-AB174-AA174</f>
        <v>621</v>
      </c>
      <c r="AE174" s="18">
        <f>331+81</f>
        <v>412</v>
      </c>
      <c r="AF174" s="18"/>
      <c r="AG174" s="41"/>
      <c r="AH174" s="41"/>
      <c r="AI174" s="41"/>
      <c r="AJ174" s="225"/>
      <c r="AK174" s="123">
        <f>SUM(I174:AJ174)</f>
        <v>3393</v>
      </c>
      <c r="AL174" s="125"/>
      <c r="AM174" s="111" t="s">
        <v>251</v>
      </c>
      <c r="AN174" s="72"/>
      <c r="AO174" s="72"/>
      <c r="AP174" s="72"/>
      <c r="AQ174" s="72"/>
      <c r="AR174" s="72"/>
    </row>
    <row r="175" spans="1:44" ht="12.75">
      <c r="A175" s="197">
        <v>175</v>
      </c>
      <c r="B175" s="306" t="s">
        <v>199</v>
      </c>
      <c r="C175" s="314" t="s">
        <v>190</v>
      </c>
      <c r="D175" s="19">
        <v>8</v>
      </c>
      <c r="E175" s="16">
        <v>6</v>
      </c>
      <c r="F175" s="16">
        <v>5562</v>
      </c>
      <c r="G175" s="14">
        <v>93</v>
      </c>
      <c r="H175" s="51"/>
      <c r="I175" s="224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17">
        <v>1</v>
      </c>
      <c r="AC175" s="17">
        <v>16</v>
      </c>
      <c r="AD175" s="17"/>
      <c r="AE175" s="41"/>
      <c r="AF175" s="41"/>
      <c r="AG175" s="41"/>
      <c r="AH175" s="41"/>
      <c r="AI175" s="41"/>
      <c r="AJ175" s="225"/>
      <c r="AK175" s="123">
        <f>SUM(I175:AJ175)</f>
        <v>17</v>
      </c>
      <c r="AL175" s="125"/>
      <c r="AM175" s="111" t="s">
        <v>484</v>
      </c>
      <c r="AN175" s="72"/>
      <c r="AO175" s="72"/>
      <c r="AP175" s="72"/>
      <c r="AQ175" s="72"/>
      <c r="AR175" s="72"/>
    </row>
    <row r="176" spans="1:44" ht="12.75">
      <c r="A176" s="414">
        <v>176</v>
      </c>
      <c r="B176" s="306" t="s">
        <v>214</v>
      </c>
      <c r="C176" s="314" t="s">
        <v>162</v>
      </c>
      <c r="D176" s="19">
        <v>5</v>
      </c>
      <c r="E176" s="16">
        <v>6</v>
      </c>
      <c r="F176" s="16">
        <v>5562</v>
      </c>
      <c r="G176" s="14">
        <v>73</v>
      </c>
      <c r="H176" s="51"/>
      <c r="I176" s="224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54">
        <v>20</v>
      </c>
      <c r="AA176" s="58">
        <f>94-Z176-AB176</f>
        <v>44</v>
      </c>
      <c r="AB176" s="54">
        <v>30</v>
      </c>
      <c r="AC176" s="41"/>
      <c r="AD176" s="41"/>
      <c r="AE176" s="41"/>
      <c r="AF176" s="41"/>
      <c r="AG176" s="41"/>
      <c r="AH176" s="41"/>
      <c r="AI176" s="41"/>
      <c r="AJ176" s="225"/>
      <c r="AK176" s="123">
        <f>SUM(I176:AJ176)</f>
        <v>94</v>
      </c>
      <c r="AL176" s="125"/>
      <c r="AM176" s="111" t="s">
        <v>229</v>
      </c>
      <c r="AN176" s="72"/>
      <c r="AO176" s="72"/>
      <c r="AP176" s="72"/>
      <c r="AQ176" s="72"/>
      <c r="AR176" s="72"/>
    </row>
    <row r="177" spans="1:44" ht="12.75">
      <c r="A177" s="197">
        <v>177</v>
      </c>
      <c r="B177" s="299" t="s">
        <v>77</v>
      </c>
      <c r="C177" s="101" t="s">
        <v>101</v>
      </c>
      <c r="D177" s="274" t="s">
        <v>93</v>
      </c>
      <c r="E177" s="96"/>
      <c r="F177" s="96"/>
      <c r="G177" s="97"/>
      <c r="H177" s="82">
        <f aca="true" t="shared" si="21" ref="H177:O177">SUM(H158:H176)</f>
        <v>0</v>
      </c>
      <c r="I177" s="82">
        <f t="shared" si="21"/>
        <v>0</v>
      </c>
      <c r="J177" s="82">
        <f t="shared" si="21"/>
        <v>0</v>
      </c>
      <c r="K177" s="82">
        <f t="shared" si="21"/>
        <v>0</v>
      </c>
      <c r="L177" s="82">
        <f t="shared" si="21"/>
        <v>0</v>
      </c>
      <c r="M177" s="82">
        <f t="shared" si="21"/>
        <v>0</v>
      </c>
      <c r="N177" s="82">
        <f t="shared" si="21"/>
        <v>0</v>
      </c>
      <c r="O177" s="82">
        <f t="shared" si="21"/>
        <v>0</v>
      </c>
      <c r="P177" s="82">
        <f aca="true" t="shared" si="22" ref="P177:AJ177">SUM(P158:P176)</f>
        <v>0</v>
      </c>
      <c r="Q177" s="82">
        <f t="shared" si="22"/>
        <v>55</v>
      </c>
      <c r="R177" s="82">
        <f t="shared" si="22"/>
        <v>43</v>
      </c>
      <c r="S177" s="82">
        <f t="shared" si="22"/>
        <v>60</v>
      </c>
      <c r="T177" s="82">
        <f>SUM(T158:T176)</f>
        <v>107</v>
      </c>
      <c r="U177" s="82">
        <f t="shared" si="22"/>
        <v>26</v>
      </c>
      <c r="V177" s="82">
        <f t="shared" si="22"/>
        <v>101</v>
      </c>
      <c r="W177" s="82">
        <f t="shared" si="22"/>
        <v>234</v>
      </c>
      <c r="X177" s="82">
        <f t="shared" si="22"/>
        <v>563</v>
      </c>
      <c r="Y177" s="82">
        <f t="shared" si="22"/>
        <v>446</v>
      </c>
      <c r="Z177" s="82">
        <f t="shared" si="22"/>
        <v>507</v>
      </c>
      <c r="AA177" s="82">
        <f t="shared" si="22"/>
        <v>852</v>
      </c>
      <c r="AB177" s="82">
        <f t="shared" si="22"/>
        <v>1270</v>
      </c>
      <c r="AC177" s="82">
        <f t="shared" si="22"/>
        <v>1380</v>
      </c>
      <c r="AD177" s="82">
        <f t="shared" si="22"/>
        <v>916</v>
      </c>
      <c r="AE177" s="82">
        <f t="shared" si="22"/>
        <v>729</v>
      </c>
      <c r="AF177" s="82">
        <f t="shared" si="22"/>
        <v>2623</v>
      </c>
      <c r="AG177" s="82">
        <f t="shared" si="22"/>
        <v>1827</v>
      </c>
      <c r="AH177" s="82">
        <f t="shared" si="22"/>
        <v>2950</v>
      </c>
      <c r="AI177" s="82">
        <f t="shared" si="22"/>
        <v>1742</v>
      </c>
      <c r="AJ177" s="104">
        <f t="shared" si="22"/>
        <v>62</v>
      </c>
      <c r="AK177" s="126">
        <f t="shared" si="20"/>
        <v>16493</v>
      </c>
      <c r="AL177" s="127"/>
      <c r="AM177" s="112"/>
      <c r="AN177" s="83"/>
      <c r="AO177" s="83"/>
      <c r="AP177" s="83"/>
      <c r="AQ177" s="83"/>
      <c r="AR177" s="72"/>
    </row>
    <row r="178" spans="1:44" ht="13.5" thickBot="1">
      <c r="A178" s="414">
        <v>178</v>
      </c>
      <c r="B178" s="300" t="s">
        <v>77</v>
      </c>
      <c r="C178" s="160" t="s">
        <v>45</v>
      </c>
      <c r="D178" s="293" t="s">
        <v>93</v>
      </c>
      <c r="E178" s="166"/>
      <c r="F178" s="166"/>
      <c r="G178" s="167"/>
      <c r="H178" s="168">
        <f aca="true" t="shared" si="23" ref="H178:AJ178">$D176*H176+$D175*H175+$D174*H174+$D173*H173+$D172*H172+$D171*H171+$D170*H170+$D169*H169+$D168*H168+$D166*H166+$D165*H165+$D164*H164+$D163*H163+$D162*H162+$D161*H161+$D160*H160+$D159*H159+$D158*H158</f>
        <v>0</v>
      </c>
      <c r="I178" s="168">
        <f t="shared" si="23"/>
        <v>0</v>
      </c>
      <c r="J178" s="168">
        <f t="shared" si="23"/>
        <v>0</v>
      </c>
      <c r="K178" s="168">
        <f t="shared" si="23"/>
        <v>0</v>
      </c>
      <c r="L178" s="168">
        <f t="shared" si="23"/>
        <v>0</v>
      </c>
      <c r="M178" s="168">
        <f t="shared" si="23"/>
        <v>0</v>
      </c>
      <c r="N178" s="168">
        <f t="shared" si="23"/>
        <v>0</v>
      </c>
      <c r="O178" s="168">
        <f t="shared" si="23"/>
        <v>0</v>
      </c>
      <c r="P178" s="168">
        <f t="shared" si="23"/>
        <v>0</v>
      </c>
      <c r="Q178" s="168">
        <f t="shared" si="23"/>
        <v>242.00000000000003</v>
      </c>
      <c r="R178" s="168">
        <f t="shared" si="23"/>
        <v>189.20000000000002</v>
      </c>
      <c r="S178" s="168">
        <f t="shared" si="23"/>
        <v>264</v>
      </c>
      <c r="T178" s="168">
        <f t="shared" si="23"/>
        <v>332.05</v>
      </c>
      <c r="U178" s="168">
        <f t="shared" si="23"/>
        <v>79.38</v>
      </c>
      <c r="V178" s="168">
        <f t="shared" si="23"/>
        <v>508.08</v>
      </c>
      <c r="W178" s="168">
        <f t="shared" si="23"/>
        <v>825.2</v>
      </c>
      <c r="X178" s="168">
        <f t="shared" si="23"/>
        <v>1616.6399999999999</v>
      </c>
      <c r="Y178" s="168">
        <f t="shared" si="23"/>
        <v>1875.4599999999998</v>
      </c>
      <c r="Z178" s="168">
        <f t="shared" si="23"/>
        <v>1767.96</v>
      </c>
      <c r="AA178" s="168">
        <f t="shared" si="23"/>
        <v>3416.9799999999996</v>
      </c>
      <c r="AB178" s="168">
        <f t="shared" si="23"/>
        <v>5559.719999999999</v>
      </c>
      <c r="AC178" s="168">
        <f t="shared" si="23"/>
        <v>6104.2</v>
      </c>
      <c r="AD178" s="168">
        <f t="shared" si="23"/>
        <v>3904.6</v>
      </c>
      <c r="AE178" s="168">
        <f t="shared" si="23"/>
        <v>2893.7</v>
      </c>
      <c r="AF178" s="168">
        <f t="shared" si="23"/>
        <v>6308.9</v>
      </c>
      <c r="AG178" s="168">
        <f t="shared" si="23"/>
        <v>4397.16</v>
      </c>
      <c r="AH178" s="168">
        <f t="shared" si="23"/>
        <v>7168.5</v>
      </c>
      <c r="AI178" s="168">
        <f t="shared" si="23"/>
        <v>4233.06</v>
      </c>
      <c r="AJ178" s="168">
        <f t="shared" si="23"/>
        <v>150.66</v>
      </c>
      <c r="AK178" s="147">
        <f t="shared" si="20"/>
        <v>51837.45</v>
      </c>
      <c r="AL178" s="148"/>
      <c r="AM178" s="149"/>
      <c r="AN178" s="150"/>
      <c r="AO178" s="150"/>
      <c r="AP178" s="150"/>
      <c r="AQ178" s="150"/>
      <c r="AR178" s="72"/>
    </row>
    <row r="179" spans="1:44" ht="13.5" thickBot="1">
      <c r="A179" s="197">
        <v>179</v>
      </c>
      <c r="B179" s="134" t="s">
        <v>8</v>
      </c>
      <c r="C179" s="135" t="s">
        <v>233</v>
      </c>
      <c r="D179" s="184" t="s">
        <v>7</v>
      </c>
      <c r="E179" s="135" t="s">
        <v>6</v>
      </c>
      <c r="F179" s="269" t="s">
        <v>5</v>
      </c>
      <c r="G179" s="136" t="s">
        <v>4</v>
      </c>
      <c r="H179" s="135">
        <v>19</v>
      </c>
      <c r="I179" s="135">
        <v>20</v>
      </c>
      <c r="J179" s="135">
        <v>21</v>
      </c>
      <c r="K179" s="135">
        <v>22</v>
      </c>
      <c r="L179" s="135">
        <v>23</v>
      </c>
      <c r="M179" s="135">
        <v>24</v>
      </c>
      <c r="N179" s="134">
        <v>1925</v>
      </c>
      <c r="O179" s="134">
        <v>1926</v>
      </c>
      <c r="P179" s="134">
        <v>1927</v>
      </c>
      <c r="Q179" s="134">
        <v>1928</v>
      </c>
      <c r="R179" s="134">
        <v>1929</v>
      </c>
      <c r="S179" s="134">
        <v>1930</v>
      </c>
      <c r="T179" s="134">
        <v>1931</v>
      </c>
      <c r="U179" s="134">
        <v>1932</v>
      </c>
      <c r="V179" s="134">
        <v>1933</v>
      </c>
      <c r="W179" s="134">
        <v>1934</v>
      </c>
      <c r="X179" s="134">
        <v>1935</v>
      </c>
      <c r="Y179" s="134">
        <v>1936</v>
      </c>
      <c r="Z179" s="134">
        <v>1937</v>
      </c>
      <c r="AA179" s="134">
        <v>1938</v>
      </c>
      <c r="AB179" s="134">
        <v>1939</v>
      </c>
      <c r="AC179" s="134">
        <v>1940</v>
      </c>
      <c r="AD179" s="184" t="s">
        <v>44</v>
      </c>
      <c r="AE179" s="184" t="s">
        <v>43</v>
      </c>
      <c r="AF179" s="134">
        <v>1942</v>
      </c>
      <c r="AG179" s="134">
        <v>1943</v>
      </c>
      <c r="AH179" s="134">
        <v>1944</v>
      </c>
      <c r="AI179" s="134">
        <v>1945</v>
      </c>
      <c r="AJ179" s="137">
        <v>1946</v>
      </c>
      <c r="AK179" s="279" t="s">
        <v>1</v>
      </c>
      <c r="AL179" s="280" t="s">
        <v>75</v>
      </c>
      <c r="AM179" s="138" t="s">
        <v>76</v>
      </c>
      <c r="AN179" s="139"/>
      <c r="AO179" s="139"/>
      <c r="AP179" s="139"/>
      <c r="AQ179" s="139"/>
      <c r="AR179" s="72"/>
    </row>
    <row r="180" spans="1:44" ht="12.75">
      <c r="A180" s="414">
        <v>180</v>
      </c>
      <c r="B180" s="42" t="s">
        <v>42</v>
      </c>
      <c r="C180" s="315"/>
      <c r="D180" s="21"/>
      <c r="E180" s="21"/>
      <c r="F180" s="8"/>
      <c r="G180" s="7"/>
      <c r="H180" s="56"/>
      <c r="I180" s="221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3"/>
      <c r="AK180" s="133">
        <f aca="true" t="shared" si="24" ref="AK180:AK192">SUM(I180:AJ180)</f>
        <v>0</v>
      </c>
      <c r="AL180" s="124"/>
      <c r="AM180" s="110"/>
      <c r="AN180" s="72"/>
      <c r="AO180" s="72"/>
      <c r="AP180" s="72"/>
      <c r="AQ180" s="72"/>
      <c r="AR180" s="72"/>
    </row>
    <row r="181" spans="1:44" ht="12.75">
      <c r="A181" s="197">
        <v>181</v>
      </c>
      <c r="B181" s="42" t="s">
        <v>177</v>
      </c>
      <c r="C181" s="315"/>
      <c r="D181" s="21"/>
      <c r="E181" s="21"/>
      <c r="F181" s="8"/>
      <c r="G181" s="7"/>
      <c r="H181" s="56"/>
      <c r="I181" s="221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3"/>
      <c r="AK181" s="133"/>
      <c r="AL181" s="124"/>
      <c r="AM181" s="110"/>
      <c r="AN181" s="72"/>
      <c r="AO181" s="72"/>
      <c r="AP181" s="72"/>
      <c r="AQ181" s="72"/>
      <c r="AR181" s="72"/>
    </row>
    <row r="182" spans="1:44" ht="12.75">
      <c r="A182" s="414">
        <v>182</v>
      </c>
      <c r="B182" s="306" t="s">
        <v>39</v>
      </c>
      <c r="C182" s="314" t="s">
        <v>162</v>
      </c>
      <c r="D182" s="15">
        <v>2.7</v>
      </c>
      <c r="E182" s="15">
        <v>4</v>
      </c>
      <c r="F182" s="16">
        <v>3287</v>
      </c>
      <c r="G182" s="14">
        <v>40</v>
      </c>
      <c r="H182" s="51"/>
      <c r="I182" s="259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>
        <v>348</v>
      </c>
      <c r="U182" s="18">
        <v>1683</v>
      </c>
      <c r="V182" s="18">
        <v>1065</v>
      </c>
      <c r="W182" s="18">
        <v>14</v>
      </c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225"/>
      <c r="AK182" s="123">
        <f t="shared" si="24"/>
        <v>3110</v>
      </c>
      <c r="AL182" s="125"/>
      <c r="AM182" s="111" t="s">
        <v>445</v>
      </c>
      <c r="AN182" s="72"/>
      <c r="AO182" s="72"/>
      <c r="AP182" s="72"/>
      <c r="AQ182" s="72"/>
      <c r="AR182" s="72"/>
    </row>
    <row r="183" spans="1:44" ht="12.75">
      <c r="A183" s="197">
        <v>183</v>
      </c>
      <c r="B183" s="306" t="s">
        <v>38</v>
      </c>
      <c r="C183" s="314" t="s">
        <v>163</v>
      </c>
      <c r="D183" s="15">
        <v>2.7</v>
      </c>
      <c r="E183" s="15">
        <v>4</v>
      </c>
      <c r="F183" s="16">
        <v>3287</v>
      </c>
      <c r="G183" s="14">
        <v>40</v>
      </c>
      <c r="H183" s="51"/>
      <c r="I183" s="259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>
        <v>10</v>
      </c>
      <c r="V183" s="18">
        <v>177</v>
      </c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225"/>
      <c r="AK183" s="123">
        <f t="shared" si="24"/>
        <v>187</v>
      </c>
      <c r="AL183" s="363">
        <f>AK183+AK182</f>
        <v>3297</v>
      </c>
      <c r="AM183" s="111" t="s">
        <v>446</v>
      </c>
      <c r="AN183" s="72"/>
      <c r="AO183" s="72"/>
      <c r="AP183" s="72"/>
      <c r="AQ183" s="72"/>
      <c r="AR183" s="72"/>
    </row>
    <row r="184" spans="1:44" ht="12.75">
      <c r="A184" s="414">
        <v>184</v>
      </c>
      <c r="B184" s="306" t="s">
        <v>37</v>
      </c>
      <c r="C184" s="314" t="s">
        <v>162</v>
      </c>
      <c r="D184" s="15">
        <v>2.9</v>
      </c>
      <c r="E184" s="15">
        <v>4</v>
      </c>
      <c r="F184" s="16">
        <v>3287</v>
      </c>
      <c r="G184" s="14">
        <v>40</v>
      </c>
      <c r="H184" s="51"/>
      <c r="I184" s="259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>
        <v>39</v>
      </c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225"/>
      <c r="AK184" s="123">
        <f t="shared" si="24"/>
        <v>39</v>
      </c>
      <c r="AL184" s="125"/>
      <c r="AM184" s="111" t="s">
        <v>466</v>
      </c>
      <c r="AN184" s="72"/>
      <c r="AO184" s="72"/>
      <c r="AP184" s="72"/>
      <c r="AQ184" s="72"/>
      <c r="AR184" s="72"/>
    </row>
    <row r="185" spans="1:44" ht="12.75">
      <c r="A185" s="197">
        <v>185</v>
      </c>
      <c r="B185" s="306" t="s">
        <v>36</v>
      </c>
      <c r="C185" s="314" t="s">
        <v>162</v>
      </c>
      <c r="D185" s="15">
        <v>3.2</v>
      </c>
      <c r="E185" s="15">
        <v>4</v>
      </c>
      <c r="F185" s="16">
        <v>3287</v>
      </c>
      <c r="G185" s="14">
        <v>40</v>
      </c>
      <c r="H185" s="51"/>
      <c r="I185" s="259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>
        <v>86</v>
      </c>
      <c r="W185" s="18">
        <v>946</v>
      </c>
      <c r="X185" s="18">
        <v>677</v>
      </c>
      <c r="Y185" s="18">
        <v>161</v>
      </c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225"/>
      <c r="AK185" s="123">
        <f t="shared" si="24"/>
        <v>1870</v>
      </c>
      <c r="AL185" s="125"/>
      <c r="AM185" s="111" t="s">
        <v>447</v>
      </c>
      <c r="AN185" s="72"/>
      <c r="AO185" s="72"/>
      <c r="AP185" s="72"/>
      <c r="AQ185" s="72"/>
      <c r="AR185" s="72"/>
    </row>
    <row r="186" spans="1:44" ht="12.75">
      <c r="A186" s="414">
        <v>186</v>
      </c>
      <c r="B186" s="306" t="s">
        <v>422</v>
      </c>
      <c r="C186" s="314" t="s">
        <v>162</v>
      </c>
      <c r="D186" s="15">
        <v>2.9</v>
      </c>
      <c r="E186" s="15">
        <v>4</v>
      </c>
      <c r="F186" s="16">
        <v>3287</v>
      </c>
      <c r="G186" s="14">
        <v>40</v>
      </c>
      <c r="H186" s="51"/>
      <c r="I186" s="259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>
        <v>2</v>
      </c>
      <c r="X186" s="18">
        <v>429</v>
      </c>
      <c r="Y186" s="18">
        <v>209</v>
      </c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225"/>
      <c r="AK186" s="123">
        <f t="shared" si="24"/>
        <v>640</v>
      </c>
      <c r="AL186" s="125"/>
      <c r="AM186" s="111" t="s">
        <v>448</v>
      </c>
      <c r="AN186" s="72"/>
      <c r="AO186" s="72"/>
      <c r="AP186" s="72"/>
      <c r="AQ186" s="72"/>
      <c r="AR186" s="72"/>
    </row>
    <row r="187" spans="1:44" ht="12.75">
      <c r="A187" s="197">
        <v>187</v>
      </c>
      <c r="B187" s="306" t="s">
        <v>35</v>
      </c>
      <c r="C187" s="314" t="s">
        <v>163</v>
      </c>
      <c r="D187" s="15">
        <v>2.9</v>
      </c>
      <c r="E187" s="15">
        <v>4</v>
      </c>
      <c r="F187" s="16">
        <v>3287</v>
      </c>
      <c r="G187" s="14">
        <v>40</v>
      </c>
      <c r="H187" s="51"/>
      <c r="I187" s="259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>
        <v>34</v>
      </c>
      <c r="Y187" s="18">
        <v>41</v>
      </c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225"/>
      <c r="AK187" s="123">
        <f t="shared" si="24"/>
        <v>75</v>
      </c>
      <c r="AL187" s="363">
        <f>AK187+AK186+AK185+AK184</f>
        <v>2624</v>
      </c>
      <c r="AM187" s="111" t="s">
        <v>449</v>
      </c>
      <c r="AN187" s="72"/>
      <c r="AO187" s="72"/>
      <c r="AP187" s="72"/>
      <c r="AQ187" s="72"/>
      <c r="AR187" s="72"/>
    </row>
    <row r="188" spans="1:44" ht="12.75">
      <c r="A188" s="414">
        <v>188</v>
      </c>
      <c r="B188" s="306" t="s">
        <v>34</v>
      </c>
      <c r="C188" s="314" t="s">
        <v>162</v>
      </c>
      <c r="D188" s="15">
        <v>3.3</v>
      </c>
      <c r="E188" s="15">
        <v>4</v>
      </c>
      <c r="F188" s="16">
        <v>3287</v>
      </c>
      <c r="G188" s="14">
        <v>50</v>
      </c>
      <c r="H188" s="51"/>
      <c r="I188" s="259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>
        <v>1046</v>
      </c>
      <c r="Z188" s="18">
        <v>17</v>
      </c>
      <c r="AA188" s="18"/>
      <c r="AB188" s="18">
        <v>154</v>
      </c>
      <c r="AC188" s="18"/>
      <c r="AD188" s="18"/>
      <c r="AE188" s="18"/>
      <c r="AF188" s="18"/>
      <c r="AG188" s="18"/>
      <c r="AH188" s="18"/>
      <c r="AI188" s="18"/>
      <c r="AJ188" s="225"/>
      <c r="AK188" s="123">
        <f t="shared" si="24"/>
        <v>1217</v>
      </c>
      <c r="AL188" s="125"/>
      <c r="AM188" s="111" t="s">
        <v>450</v>
      </c>
      <c r="AN188" s="72"/>
      <c r="AO188" s="72"/>
      <c r="AP188" s="72"/>
      <c r="AQ188" s="72"/>
      <c r="AR188" s="72"/>
    </row>
    <row r="189" spans="1:44" ht="12.75">
      <c r="A189" s="197">
        <v>189</v>
      </c>
      <c r="B189" s="306" t="s">
        <v>187</v>
      </c>
      <c r="C189" s="314" t="s">
        <v>162</v>
      </c>
      <c r="D189" s="15">
        <v>2.7</v>
      </c>
      <c r="E189" s="15">
        <v>4</v>
      </c>
      <c r="F189" s="64">
        <v>3260</v>
      </c>
      <c r="G189" s="14">
        <v>50</v>
      </c>
      <c r="H189" s="51"/>
      <c r="I189" s="259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>
        <v>165</v>
      </c>
      <c r="AA189" s="18"/>
      <c r="AB189" s="18"/>
      <c r="AC189" s="18"/>
      <c r="AD189" s="18"/>
      <c r="AE189" s="18"/>
      <c r="AF189" s="18"/>
      <c r="AG189" s="18"/>
      <c r="AH189" s="18"/>
      <c r="AI189" s="18"/>
      <c r="AJ189" s="225"/>
      <c r="AK189" s="123">
        <f t="shared" si="24"/>
        <v>165</v>
      </c>
      <c r="AL189" s="363">
        <f>AK189+AK188</f>
        <v>1382</v>
      </c>
      <c r="AM189" s="111" t="s">
        <v>451</v>
      </c>
      <c r="AN189" s="72"/>
      <c r="AO189" s="72"/>
      <c r="AP189" s="72"/>
      <c r="AQ189" s="72"/>
      <c r="AR189" s="72"/>
    </row>
    <row r="190" spans="1:44" ht="12.75">
      <c r="A190" s="414">
        <v>190</v>
      </c>
      <c r="B190" s="306" t="s">
        <v>33</v>
      </c>
      <c r="C190" s="314" t="s">
        <v>169</v>
      </c>
      <c r="D190" s="15">
        <v>5.6</v>
      </c>
      <c r="E190" s="15">
        <v>6</v>
      </c>
      <c r="F190" s="143">
        <v>3487</v>
      </c>
      <c r="G190" s="14">
        <v>85</v>
      </c>
      <c r="H190" s="51"/>
      <c r="I190" s="259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226"/>
      <c r="U190" s="18"/>
      <c r="V190" s="18"/>
      <c r="W190" s="18"/>
      <c r="X190" s="18"/>
      <c r="Y190" s="18"/>
      <c r="Z190" s="18"/>
      <c r="AA190" s="18"/>
      <c r="AB190" s="18"/>
      <c r="AC190" s="18">
        <v>41</v>
      </c>
      <c r="AD190" s="18">
        <v>181</v>
      </c>
      <c r="AE190" s="18">
        <v>487</v>
      </c>
      <c r="AF190" s="18"/>
      <c r="AG190" s="18"/>
      <c r="AH190" s="18"/>
      <c r="AI190" s="18"/>
      <c r="AJ190" s="225"/>
      <c r="AK190" s="123">
        <f t="shared" si="24"/>
        <v>709</v>
      </c>
      <c r="AL190" s="125"/>
      <c r="AM190" s="111" t="s">
        <v>452</v>
      </c>
      <c r="AN190" s="72"/>
      <c r="AO190" s="72"/>
      <c r="AP190" s="72"/>
      <c r="AQ190" s="72"/>
      <c r="AR190" s="72"/>
    </row>
    <row r="191" spans="1:44" ht="12.75">
      <c r="A191" s="197">
        <v>191</v>
      </c>
      <c r="B191" s="306" t="s">
        <v>428</v>
      </c>
      <c r="C191" s="314" t="s">
        <v>175</v>
      </c>
      <c r="D191" s="15">
        <v>5.15</v>
      </c>
      <c r="E191" s="15">
        <v>6</v>
      </c>
      <c r="F191" s="64">
        <v>3487</v>
      </c>
      <c r="G191" s="14">
        <v>70</v>
      </c>
      <c r="H191" s="51"/>
      <c r="I191" s="259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>
        <v>1388</v>
      </c>
      <c r="AF191" s="18">
        <v>4477</v>
      </c>
      <c r="AG191" s="18">
        <v>55</v>
      </c>
      <c r="AH191" s="18"/>
      <c r="AI191" s="18"/>
      <c r="AJ191" s="225"/>
      <c r="AK191" s="123">
        <f t="shared" si="24"/>
        <v>5920</v>
      </c>
      <c r="AL191" s="125"/>
      <c r="AM191" s="111" t="s">
        <v>348</v>
      </c>
      <c r="AN191" s="72"/>
      <c r="AO191" s="72"/>
      <c r="AP191" s="72"/>
      <c r="AQ191" s="72"/>
      <c r="AR191" s="72"/>
    </row>
    <row r="192" spans="1:44" ht="13.5" thickBot="1">
      <c r="A192" s="414">
        <v>192</v>
      </c>
      <c r="B192" s="312" t="s">
        <v>111</v>
      </c>
      <c r="C192" s="316"/>
      <c r="D192" s="161" t="s">
        <v>93</v>
      </c>
      <c r="E192" s="12"/>
      <c r="F192" s="459"/>
      <c r="G192" s="11"/>
      <c r="H192" s="435"/>
      <c r="I192" s="259"/>
      <c r="J192" s="18"/>
      <c r="K192" s="18"/>
      <c r="L192" s="18"/>
      <c r="M192" s="18"/>
      <c r="N192" s="24"/>
      <c r="O192" s="24"/>
      <c r="P192" s="24"/>
      <c r="Q192" s="24"/>
      <c r="R192" s="24"/>
      <c r="S192" s="24"/>
      <c r="T192" s="319">
        <f aca="true" t="shared" si="25" ref="T192:AG192">SUM(T182:T191)</f>
        <v>348</v>
      </c>
      <c r="U192" s="319">
        <f t="shared" si="25"/>
        <v>1693</v>
      </c>
      <c r="V192" s="319">
        <f t="shared" si="25"/>
        <v>1367</v>
      </c>
      <c r="W192" s="319">
        <f t="shared" si="25"/>
        <v>962</v>
      </c>
      <c r="X192" s="319">
        <f t="shared" si="25"/>
        <v>1140</v>
      </c>
      <c r="Y192" s="319">
        <f t="shared" si="25"/>
        <v>1457</v>
      </c>
      <c r="Z192" s="319">
        <f t="shared" si="25"/>
        <v>182</v>
      </c>
      <c r="AA192" s="319">
        <f t="shared" si="25"/>
        <v>0</v>
      </c>
      <c r="AB192" s="319">
        <f t="shared" si="25"/>
        <v>154</v>
      </c>
      <c r="AC192" s="319">
        <f t="shared" si="25"/>
        <v>41</v>
      </c>
      <c r="AD192" s="319">
        <f t="shared" si="25"/>
        <v>181</v>
      </c>
      <c r="AE192" s="319">
        <f t="shared" si="25"/>
        <v>1875</v>
      </c>
      <c r="AF192" s="319">
        <f t="shared" si="25"/>
        <v>4477</v>
      </c>
      <c r="AG192" s="319">
        <f t="shared" si="25"/>
        <v>55</v>
      </c>
      <c r="AH192" s="24"/>
      <c r="AI192" s="24"/>
      <c r="AJ192" s="258"/>
      <c r="AK192" s="359">
        <f t="shared" si="24"/>
        <v>13932</v>
      </c>
      <c r="AL192" s="360"/>
      <c r="AM192" s="120"/>
      <c r="AN192" s="73"/>
      <c r="AO192" s="73"/>
      <c r="AP192" s="73"/>
      <c r="AQ192" s="73"/>
      <c r="AR192" s="72"/>
    </row>
    <row r="193" spans="1:44" ht="12.75">
      <c r="A193" s="197">
        <v>193</v>
      </c>
      <c r="B193" s="309" t="s">
        <v>367</v>
      </c>
      <c r="C193" s="314" t="s">
        <v>165</v>
      </c>
      <c r="D193" s="15">
        <v>4.96</v>
      </c>
      <c r="E193" s="15">
        <v>4</v>
      </c>
      <c r="F193" s="16">
        <v>3287</v>
      </c>
      <c r="G193" s="14">
        <v>50</v>
      </c>
      <c r="H193" s="51"/>
      <c r="I193" s="259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>
        <v>101</v>
      </c>
      <c r="AF193" s="18"/>
      <c r="AG193" s="18"/>
      <c r="AH193" s="18"/>
      <c r="AI193" s="18"/>
      <c r="AJ193" s="225"/>
      <c r="AK193" s="123">
        <f aca="true" t="shared" si="26" ref="AK193:AK240">SUM(I193:AJ193)</f>
        <v>101</v>
      </c>
      <c r="AL193" s="125"/>
      <c r="AM193" s="111" t="s">
        <v>368</v>
      </c>
      <c r="AN193" s="72"/>
      <c r="AO193" s="72"/>
      <c r="AP193" s="72"/>
      <c r="AQ193" s="72"/>
      <c r="AR193" s="72"/>
    </row>
    <row r="194" spans="1:44" ht="12.75">
      <c r="A194" s="414">
        <v>194</v>
      </c>
      <c r="B194" s="306" t="s">
        <v>31</v>
      </c>
      <c r="C194" s="314" t="s">
        <v>164</v>
      </c>
      <c r="D194" s="15">
        <v>6</v>
      </c>
      <c r="E194" s="15">
        <v>4</v>
      </c>
      <c r="F194" s="144">
        <v>7464</v>
      </c>
      <c r="G194" s="14">
        <v>52</v>
      </c>
      <c r="H194" s="51"/>
      <c r="I194" s="259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68">
        <v>90</v>
      </c>
      <c r="AF194" s="226"/>
      <c r="AG194" s="18"/>
      <c r="AH194" s="18"/>
      <c r="AI194" s="18"/>
      <c r="AJ194" s="109"/>
      <c r="AK194" s="123">
        <f t="shared" si="26"/>
        <v>90</v>
      </c>
      <c r="AL194" s="125"/>
      <c r="AM194" s="111" t="s">
        <v>176</v>
      </c>
      <c r="AN194" s="72"/>
      <c r="AO194" s="72"/>
      <c r="AP194" s="72"/>
      <c r="AQ194" s="72"/>
      <c r="AR194" s="72"/>
    </row>
    <row r="195" spans="1:44" ht="12.75">
      <c r="A195" s="197">
        <v>195</v>
      </c>
      <c r="B195" s="306" t="s">
        <v>423</v>
      </c>
      <c r="C195" s="314" t="s">
        <v>164</v>
      </c>
      <c r="D195" s="15">
        <v>9.96</v>
      </c>
      <c r="E195" s="15">
        <v>12</v>
      </c>
      <c r="F195" s="64">
        <v>6974</v>
      </c>
      <c r="G195" s="14">
        <v>140</v>
      </c>
      <c r="H195" s="51"/>
      <c r="I195" s="259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>
        <v>4883</v>
      </c>
      <c r="AG195" s="18">
        <v>3348</v>
      </c>
      <c r="AH195" s="18"/>
      <c r="AI195" s="18"/>
      <c r="AJ195" s="225"/>
      <c r="AK195" s="123">
        <f t="shared" si="26"/>
        <v>8231</v>
      </c>
      <c r="AL195" s="125"/>
      <c r="AM195" s="111" t="s">
        <v>349</v>
      </c>
      <c r="AN195" s="72"/>
      <c r="AO195" s="72"/>
      <c r="AP195" s="72"/>
      <c r="AQ195" s="72"/>
      <c r="AR195" s="72"/>
    </row>
    <row r="196" spans="1:44" ht="12.75">
      <c r="A196" s="414">
        <v>196</v>
      </c>
      <c r="B196" s="306" t="s">
        <v>30</v>
      </c>
      <c r="C196" s="314" t="s">
        <v>164</v>
      </c>
      <c r="D196" s="15">
        <v>11.6</v>
      </c>
      <c r="E196" s="15">
        <v>12</v>
      </c>
      <c r="F196" s="64">
        <v>6974</v>
      </c>
      <c r="G196" s="14">
        <v>170</v>
      </c>
      <c r="H196" s="51"/>
      <c r="I196" s="259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226"/>
      <c r="AG196" s="18">
        <v>75</v>
      </c>
      <c r="AH196" s="18"/>
      <c r="AI196" s="18"/>
      <c r="AJ196" s="225"/>
      <c r="AK196" s="123">
        <f t="shared" si="26"/>
        <v>75</v>
      </c>
      <c r="AL196" s="125"/>
      <c r="AM196" s="111" t="s">
        <v>350</v>
      </c>
      <c r="AN196" s="72"/>
      <c r="AO196" s="72"/>
      <c r="AP196" s="72"/>
      <c r="AQ196" s="72"/>
      <c r="AR196" s="72"/>
    </row>
    <row r="197" spans="1:44" ht="12.75">
      <c r="A197" s="197">
        <v>197</v>
      </c>
      <c r="B197" s="306" t="s">
        <v>424</v>
      </c>
      <c r="C197" s="314" t="s">
        <v>166</v>
      </c>
      <c r="D197" s="15">
        <v>11.6</v>
      </c>
      <c r="E197" s="15">
        <v>12</v>
      </c>
      <c r="F197" s="64">
        <v>6974</v>
      </c>
      <c r="G197" s="14">
        <v>140</v>
      </c>
      <c r="H197" s="51"/>
      <c r="I197" s="259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>
        <v>25</v>
      </c>
      <c r="AG197" s="18">
        <f>535+562+601+210+201</f>
        <v>2109</v>
      </c>
      <c r="AH197" s="18">
        <f>1103+4708+1344</f>
        <v>7155</v>
      </c>
      <c r="AI197" s="17">
        <f>2214+752</f>
        <v>2966</v>
      </c>
      <c r="AJ197" s="225"/>
      <c r="AK197" s="123">
        <f t="shared" si="26"/>
        <v>12255</v>
      </c>
      <c r="AL197" s="125"/>
      <c r="AM197" s="111" t="s">
        <v>141</v>
      </c>
      <c r="AN197" s="72"/>
      <c r="AO197" s="72"/>
      <c r="AP197" s="72"/>
      <c r="AQ197" s="72"/>
      <c r="AR197" s="72"/>
    </row>
    <row r="198" spans="1:44" ht="13.5" thickBot="1">
      <c r="A198" s="414">
        <v>198</v>
      </c>
      <c r="B198" s="308" t="s">
        <v>425</v>
      </c>
      <c r="C198" s="316" t="s">
        <v>174</v>
      </c>
      <c r="D198" s="12">
        <v>11.6</v>
      </c>
      <c r="E198" s="12">
        <v>12</v>
      </c>
      <c r="F198" s="140">
        <v>6974</v>
      </c>
      <c r="G198" s="11">
        <v>140</v>
      </c>
      <c r="H198" s="435"/>
      <c r="I198" s="259"/>
      <c r="J198" s="18"/>
      <c r="K198" s="18"/>
      <c r="L198" s="18"/>
      <c r="M198" s="18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60">
        <v>12</v>
      </c>
      <c r="AJ198" s="258"/>
      <c r="AK198" s="131">
        <f t="shared" si="26"/>
        <v>12</v>
      </c>
      <c r="AL198" s="132"/>
      <c r="AM198" s="120" t="s">
        <v>140</v>
      </c>
      <c r="AN198" s="73"/>
      <c r="AO198" s="73"/>
      <c r="AP198" s="73"/>
      <c r="AQ198" s="73"/>
      <c r="AR198" s="72"/>
    </row>
    <row r="199" spans="1:44" ht="12.75">
      <c r="A199" s="197">
        <v>199</v>
      </c>
      <c r="B199" s="42" t="s">
        <v>178</v>
      </c>
      <c r="C199" s="315"/>
      <c r="D199" s="21"/>
      <c r="E199" s="21"/>
      <c r="F199" s="8"/>
      <c r="G199" s="7"/>
      <c r="H199" s="56"/>
      <c r="I199" s="221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3"/>
      <c r="AK199" s="133"/>
      <c r="AL199" s="124"/>
      <c r="AM199" s="110"/>
      <c r="AN199" s="72"/>
      <c r="AO199" s="72"/>
      <c r="AP199" s="72"/>
      <c r="AQ199" s="72"/>
      <c r="AR199" s="72"/>
    </row>
    <row r="200" spans="1:44" ht="12.75">
      <c r="A200" s="414">
        <v>200</v>
      </c>
      <c r="B200" s="309" t="s">
        <v>41</v>
      </c>
      <c r="C200" s="314" t="s">
        <v>170</v>
      </c>
      <c r="D200" s="15">
        <v>7</v>
      </c>
      <c r="E200" s="15">
        <v>4</v>
      </c>
      <c r="F200" s="16">
        <v>4400</v>
      </c>
      <c r="G200" s="14">
        <v>33</v>
      </c>
      <c r="H200" s="51"/>
      <c r="I200" s="259">
        <v>2</v>
      </c>
      <c r="J200" s="18">
        <v>13</v>
      </c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225"/>
      <c r="AK200" s="123">
        <f>SUM(I200:AJ200)</f>
        <v>15</v>
      </c>
      <c r="AL200" s="125"/>
      <c r="AM200" s="111" t="s">
        <v>152</v>
      </c>
      <c r="AN200" s="72"/>
      <c r="AO200" s="72"/>
      <c r="AP200" s="72"/>
      <c r="AQ200" s="72"/>
      <c r="AR200" s="72"/>
    </row>
    <row r="201" spans="1:44" ht="13.5" thickBot="1">
      <c r="A201" s="197">
        <v>201</v>
      </c>
      <c r="B201" s="308" t="s">
        <v>40</v>
      </c>
      <c r="C201" s="316" t="s">
        <v>170</v>
      </c>
      <c r="D201" s="12">
        <v>5.5</v>
      </c>
      <c r="E201" s="12">
        <v>4</v>
      </c>
      <c r="F201" s="32">
        <v>3179</v>
      </c>
      <c r="G201" s="11">
        <v>35</v>
      </c>
      <c r="H201" s="435"/>
      <c r="I201" s="259"/>
      <c r="J201" s="18"/>
      <c r="K201" s="18"/>
      <c r="L201" s="18"/>
      <c r="M201" s="18"/>
      <c r="N201" s="24"/>
      <c r="O201" s="24">
        <v>2</v>
      </c>
      <c r="P201" s="24">
        <v>23</v>
      </c>
      <c r="Q201" s="24">
        <v>85</v>
      </c>
      <c r="R201" s="24">
        <v>317</v>
      </c>
      <c r="S201" s="24">
        <v>90</v>
      </c>
      <c r="T201" s="24">
        <v>445</v>
      </c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8"/>
      <c r="AK201" s="131">
        <f>SUM(I201:AJ201)</f>
        <v>962</v>
      </c>
      <c r="AL201" s="132"/>
      <c r="AM201" s="120" t="s">
        <v>153</v>
      </c>
      <c r="AN201" s="73"/>
      <c r="AO201" s="73"/>
      <c r="AP201" s="73"/>
      <c r="AQ201" s="73"/>
      <c r="AR201" s="72"/>
    </row>
    <row r="202" spans="1:44" ht="12.75">
      <c r="A202" s="414">
        <v>202</v>
      </c>
      <c r="B202" s="307" t="s">
        <v>91</v>
      </c>
      <c r="C202" s="315" t="s">
        <v>171</v>
      </c>
      <c r="D202" s="21">
        <v>8.2</v>
      </c>
      <c r="E202" s="21">
        <v>4</v>
      </c>
      <c r="F202" s="144">
        <v>6630</v>
      </c>
      <c r="G202" s="7">
        <v>91</v>
      </c>
      <c r="H202" s="56"/>
      <c r="I202" s="26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>
        <v>17</v>
      </c>
      <c r="U202" s="31">
        <v>1032</v>
      </c>
      <c r="V202" s="31">
        <v>576</v>
      </c>
      <c r="W202" s="31">
        <v>1</v>
      </c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223"/>
      <c r="AK202" s="133">
        <f t="shared" si="26"/>
        <v>1626</v>
      </c>
      <c r="AL202" s="124"/>
      <c r="AM202" s="110" t="s">
        <v>453</v>
      </c>
      <c r="AN202" s="72"/>
      <c r="AO202" s="72"/>
      <c r="AP202" s="72"/>
      <c r="AQ202" s="72"/>
      <c r="AR202" s="72"/>
    </row>
    <row r="203" spans="1:44" ht="12.75">
      <c r="A203" s="197">
        <v>203</v>
      </c>
      <c r="B203" s="307" t="s">
        <v>90</v>
      </c>
      <c r="C203" s="315" t="s">
        <v>164</v>
      </c>
      <c r="D203" s="21">
        <v>9.4</v>
      </c>
      <c r="E203" s="21">
        <v>4</v>
      </c>
      <c r="F203" s="144">
        <v>6630</v>
      </c>
      <c r="G203" s="7">
        <v>95</v>
      </c>
      <c r="H203" s="56"/>
      <c r="I203" s="26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>
        <v>616</v>
      </c>
      <c r="W203" s="31">
        <v>511</v>
      </c>
      <c r="X203" s="31">
        <v>553</v>
      </c>
      <c r="Y203" s="31">
        <v>447</v>
      </c>
      <c r="Z203" s="31"/>
      <c r="AA203" s="31"/>
      <c r="AB203" s="31">
        <v>690</v>
      </c>
      <c r="AC203" s="31">
        <v>814</v>
      </c>
      <c r="AD203" s="31"/>
      <c r="AE203" s="31"/>
      <c r="AF203" s="31"/>
      <c r="AG203" s="31"/>
      <c r="AH203" s="31"/>
      <c r="AI203" s="31"/>
      <c r="AJ203" s="223"/>
      <c r="AK203" s="123">
        <f t="shared" si="26"/>
        <v>3631</v>
      </c>
      <c r="AL203" s="124"/>
      <c r="AM203" s="110" t="s">
        <v>454</v>
      </c>
      <c r="AN203" s="72"/>
      <c r="AO203" s="72"/>
      <c r="AP203" s="72"/>
      <c r="AQ203" s="72"/>
      <c r="AR203" s="72"/>
    </row>
    <row r="204" spans="1:44" ht="12.75">
      <c r="A204" s="414">
        <v>204</v>
      </c>
      <c r="B204" s="306" t="s">
        <v>426</v>
      </c>
      <c r="C204" s="315" t="s">
        <v>164</v>
      </c>
      <c r="D204" s="21">
        <v>9.4</v>
      </c>
      <c r="E204" s="21">
        <v>4</v>
      </c>
      <c r="F204" s="144">
        <v>6630</v>
      </c>
      <c r="G204" s="7">
        <v>95</v>
      </c>
      <c r="H204" s="56"/>
      <c r="I204" s="26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>
        <v>20</v>
      </c>
      <c r="W204" s="31">
        <v>457</v>
      </c>
      <c r="X204" s="31">
        <v>735</v>
      </c>
      <c r="Y204" s="31">
        <v>826</v>
      </c>
      <c r="Z204" s="31">
        <v>550</v>
      </c>
      <c r="AA204" s="31">
        <v>716</v>
      </c>
      <c r="AB204" s="31">
        <v>336</v>
      </c>
      <c r="AC204" s="31">
        <v>318</v>
      </c>
      <c r="AD204" s="31"/>
      <c r="AE204" s="31"/>
      <c r="AF204" s="31"/>
      <c r="AG204" s="31"/>
      <c r="AH204" s="31"/>
      <c r="AI204" s="31"/>
      <c r="AJ204" s="223"/>
      <c r="AK204" s="123">
        <f>SUM(I204:AJ204)</f>
        <v>3958</v>
      </c>
      <c r="AL204" s="124"/>
      <c r="AM204" s="110" t="s">
        <v>455</v>
      </c>
      <c r="AN204" s="72"/>
      <c r="AO204" s="72"/>
      <c r="AP204" s="72"/>
      <c r="AQ204" s="72"/>
      <c r="AR204" s="72"/>
    </row>
    <row r="205" spans="1:44" ht="12.75">
      <c r="A205" s="197">
        <v>205</v>
      </c>
      <c r="B205" s="307" t="s">
        <v>27</v>
      </c>
      <c r="C205" s="315" t="s">
        <v>164</v>
      </c>
      <c r="D205" s="21">
        <v>10.25</v>
      </c>
      <c r="E205" s="21">
        <v>4</v>
      </c>
      <c r="F205" s="144">
        <v>6630</v>
      </c>
      <c r="G205" s="7">
        <v>97</v>
      </c>
      <c r="H205" s="56"/>
      <c r="I205" s="26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>
        <v>267</v>
      </c>
      <c r="AC205" s="31">
        <v>204</v>
      </c>
      <c r="AD205" s="31"/>
      <c r="AE205" s="31">
        <v>116</v>
      </c>
      <c r="AF205" s="31"/>
      <c r="AG205" s="31"/>
      <c r="AH205" s="31"/>
      <c r="AI205" s="31"/>
      <c r="AJ205" s="223"/>
      <c r="AK205" s="123">
        <f>SUM(I205:AJ205)</f>
        <v>587</v>
      </c>
      <c r="AL205" s="124"/>
      <c r="AM205" s="313" t="s">
        <v>456</v>
      </c>
      <c r="AN205" s="72"/>
      <c r="AO205" s="72"/>
      <c r="AP205" s="72"/>
      <c r="AQ205" s="72"/>
      <c r="AR205" s="72"/>
    </row>
    <row r="206" spans="1:44" ht="12.75">
      <c r="A206" s="414">
        <v>206</v>
      </c>
      <c r="B206" s="307" t="s">
        <v>29</v>
      </c>
      <c r="C206" s="315" t="s">
        <v>163</v>
      </c>
      <c r="D206" s="21">
        <v>9.4</v>
      </c>
      <c r="E206" s="21">
        <v>4</v>
      </c>
      <c r="F206" s="144">
        <v>6630</v>
      </c>
      <c r="G206" s="7">
        <v>95</v>
      </c>
      <c r="H206" s="56"/>
      <c r="I206" s="26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>
        <v>115</v>
      </c>
      <c r="W206" s="31">
        <v>430</v>
      </c>
      <c r="X206" s="31">
        <v>7</v>
      </c>
      <c r="Y206" s="31">
        <v>10</v>
      </c>
      <c r="Z206" s="31"/>
      <c r="AA206" s="31">
        <v>290</v>
      </c>
      <c r="AB206" s="31">
        <v>103</v>
      </c>
      <c r="AC206" s="31">
        <v>265</v>
      </c>
      <c r="AD206" s="31"/>
      <c r="AE206" s="31"/>
      <c r="AF206" s="31"/>
      <c r="AG206" s="31"/>
      <c r="AH206" s="31"/>
      <c r="AI206" s="31"/>
      <c r="AJ206" s="223"/>
      <c r="AK206" s="123">
        <f t="shared" si="26"/>
        <v>1220</v>
      </c>
      <c r="AL206" s="124"/>
      <c r="AM206" s="110" t="s">
        <v>456</v>
      </c>
      <c r="AN206" s="72"/>
      <c r="AO206" s="72"/>
      <c r="AP206" s="72"/>
      <c r="AQ206" s="72"/>
      <c r="AR206" s="72"/>
    </row>
    <row r="207" spans="1:44" ht="12.75">
      <c r="A207" s="197">
        <v>207</v>
      </c>
      <c r="B207" s="307" t="s">
        <v>28</v>
      </c>
      <c r="C207" s="315"/>
      <c r="D207" s="21">
        <v>9.4</v>
      </c>
      <c r="E207" s="21">
        <v>4</v>
      </c>
      <c r="F207" s="144">
        <v>6630</v>
      </c>
      <c r="G207" s="7">
        <v>95</v>
      </c>
      <c r="H207" s="56"/>
      <c r="I207" s="26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>
        <v>1</v>
      </c>
      <c r="W207" s="31">
        <v>44</v>
      </c>
      <c r="X207" s="31">
        <v>20</v>
      </c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223"/>
      <c r="AK207" s="123">
        <f t="shared" si="26"/>
        <v>65</v>
      </c>
      <c r="AL207" s="124"/>
      <c r="AM207" s="110" t="s">
        <v>456</v>
      </c>
      <c r="AN207" s="72"/>
      <c r="AO207" s="72"/>
      <c r="AP207" s="72"/>
      <c r="AQ207" s="72"/>
      <c r="AR207" s="72"/>
    </row>
    <row r="208" spans="1:44" ht="12.75">
      <c r="A208" s="414">
        <v>208</v>
      </c>
      <c r="B208" s="307" t="s">
        <v>26</v>
      </c>
      <c r="C208" s="315"/>
      <c r="D208" s="30">
        <v>8</v>
      </c>
      <c r="E208" s="21">
        <v>4</v>
      </c>
      <c r="F208" s="144">
        <v>6630</v>
      </c>
      <c r="G208" s="29">
        <v>100</v>
      </c>
      <c r="H208" s="57"/>
      <c r="I208" s="26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>
        <v>55</v>
      </c>
      <c r="AB208" s="31"/>
      <c r="AC208" s="31"/>
      <c r="AD208" s="31"/>
      <c r="AE208" s="31"/>
      <c r="AF208" s="31"/>
      <c r="AG208" s="31"/>
      <c r="AH208" s="31"/>
      <c r="AI208" s="31"/>
      <c r="AJ208" s="223"/>
      <c r="AK208" s="123">
        <f t="shared" si="26"/>
        <v>55</v>
      </c>
      <c r="AL208" s="124"/>
      <c r="AM208" s="110" t="s">
        <v>456</v>
      </c>
      <c r="AN208" s="72"/>
      <c r="AO208" s="72"/>
      <c r="AP208" s="72"/>
      <c r="AQ208" s="72"/>
      <c r="AR208" s="72"/>
    </row>
    <row r="209" spans="1:44" ht="12.75">
      <c r="A209" s="197">
        <v>209</v>
      </c>
      <c r="B209" s="307" t="s">
        <v>32</v>
      </c>
      <c r="C209" s="315" t="s">
        <v>164</v>
      </c>
      <c r="D209" s="21">
        <v>14</v>
      </c>
      <c r="E209" s="329">
        <v>6</v>
      </c>
      <c r="F209" s="144">
        <v>19093</v>
      </c>
      <c r="G209" s="7">
        <v>300</v>
      </c>
      <c r="H209" s="56"/>
      <c r="I209" s="26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60"/>
      <c r="U209" s="60"/>
      <c r="V209" s="60"/>
      <c r="W209" s="60"/>
      <c r="X209" s="60"/>
      <c r="Y209" s="60"/>
      <c r="Z209" s="60"/>
      <c r="AA209" s="60"/>
      <c r="AB209" s="60"/>
      <c r="AC209" s="31"/>
      <c r="AD209" s="31"/>
      <c r="AE209" s="31">
        <v>60</v>
      </c>
      <c r="AF209" s="31">
        <v>15</v>
      </c>
      <c r="AG209" s="31"/>
      <c r="AH209" s="31"/>
      <c r="AI209" s="31"/>
      <c r="AJ209" s="223"/>
      <c r="AK209" s="133">
        <f>SUM(I209:AJ209)</f>
        <v>75</v>
      </c>
      <c r="AL209" s="124"/>
      <c r="AM209" s="110" t="s">
        <v>491</v>
      </c>
      <c r="AN209" s="72"/>
      <c r="AO209" s="72"/>
      <c r="AP209" s="72"/>
      <c r="AQ209" s="72"/>
      <c r="AR209" s="72"/>
    </row>
    <row r="210" spans="1:44" ht="13.5" thickBot="1">
      <c r="A210" s="414">
        <v>210</v>
      </c>
      <c r="B210" s="312" t="s">
        <v>108</v>
      </c>
      <c r="C210" s="326"/>
      <c r="D210" s="161" t="s">
        <v>93</v>
      </c>
      <c r="E210" s="327"/>
      <c r="F210" s="140"/>
      <c r="G210" s="328"/>
      <c r="H210" s="436"/>
      <c r="I210" s="259"/>
      <c r="J210" s="18"/>
      <c r="K210" s="18"/>
      <c r="L210" s="18"/>
      <c r="M210" s="18"/>
      <c r="N210" s="24"/>
      <c r="O210" s="24"/>
      <c r="P210" s="24"/>
      <c r="Q210" s="24"/>
      <c r="R210" s="24"/>
      <c r="S210" s="24"/>
      <c r="T210" s="319">
        <f aca="true" t="shared" si="27" ref="T210:AE210">SUM(T202:T208)</f>
        <v>17</v>
      </c>
      <c r="U210" s="319">
        <f t="shared" si="27"/>
        <v>1032</v>
      </c>
      <c r="V210" s="319">
        <f t="shared" si="27"/>
        <v>1328</v>
      </c>
      <c r="W210" s="319">
        <f t="shared" si="27"/>
        <v>1443</v>
      </c>
      <c r="X210" s="319">
        <f t="shared" si="27"/>
        <v>1315</v>
      </c>
      <c r="Y210" s="319">
        <f t="shared" si="27"/>
        <v>1283</v>
      </c>
      <c r="Z210" s="319">
        <f t="shared" si="27"/>
        <v>550</v>
      </c>
      <c r="AA210" s="319">
        <f t="shared" si="27"/>
        <v>1061</v>
      </c>
      <c r="AB210" s="319">
        <f t="shared" si="27"/>
        <v>1396</v>
      </c>
      <c r="AC210" s="319">
        <f t="shared" si="27"/>
        <v>1601</v>
      </c>
      <c r="AD210" s="319">
        <f t="shared" si="27"/>
        <v>0</v>
      </c>
      <c r="AE210" s="319">
        <f t="shared" si="27"/>
        <v>116</v>
      </c>
      <c r="AF210" s="24"/>
      <c r="AG210" s="24"/>
      <c r="AH210" s="24"/>
      <c r="AI210" s="24"/>
      <c r="AJ210" s="258"/>
      <c r="AK210" s="359">
        <f t="shared" si="26"/>
        <v>11142</v>
      </c>
      <c r="AL210" s="360"/>
      <c r="AM210" s="120" t="s">
        <v>457</v>
      </c>
      <c r="AN210" s="73"/>
      <c r="AO210" s="73"/>
      <c r="AP210" s="73"/>
      <c r="AQ210" s="73"/>
      <c r="AR210" s="72"/>
    </row>
    <row r="211" spans="1:44" ht="12.75">
      <c r="A211" s="197">
        <v>211</v>
      </c>
      <c r="B211" s="307" t="s">
        <v>25</v>
      </c>
      <c r="C211" s="315" t="s">
        <v>170</v>
      </c>
      <c r="D211" s="21">
        <v>11</v>
      </c>
      <c r="E211" s="21">
        <v>12</v>
      </c>
      <c r="F211" s="144">
        <v>27039</v>
      </c>
      <c r="G211" s="7">
        <v>400</v>
      </c>
      <c r="H211" s="56"/>
      <c r="I211" s="26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226"/>
      <c r="U211" s="31">
        <v>396</v>
      </c>
      <c r="V211" s="31">
        <v>224</v>
      </c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223"/>
      <c r="AK211" s="133">
        <f t="shared" si="26"/>
        <v>620</v>
      </c>
      <c r="AL211" s="124"/>
      <c r="AM211" s="110" t="s">
        <v>458</v>
      </c>
      <c r="AN211" s="72"/>
      <c r="AO211" s="72"/>
      <c r="AP211" s="72"/>
      <c r="AQ211" s="72"/>
      <c r="AR211" s="72"/>
    </row>
    <row r="212" spans="1:44" ht="12.75">
      <c r="A212" s="414">
        <v>212</v>
      </c>
      <c r="B212" s="306" t="s">
        <v>24</v>
      </c>
      <c r="C212" s="314" t="s">
        <v>164</v>
      </c>
      <c r="D212" s="15">
        <v>11.6</v>
      </c>
      <c r="E212" s="15">
        <v>12</v>
      </c>
      <c r="F212" s="64">
        <v>27039</v>
      </c>
      <c r="G212" s="14">
        <v>400</v>
      </c>
      <c r="H212" s="51"/>
      <c r="I212" s="259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>
        <v>761</v>
      </c>
      <c r="W212" s="18">
        <v>860</v>
      </c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225"/>
      <c r="AK212" s="123">
        <f t="shared" si="26"/>
        <v>1621</v>
      </c>
      <c r="AL212" s="125"/>
      <c r="AM212" s="111" t="s">
        <v>459</v>
      </c>
      <c r="AN212" s="72"/>
      <c r="AO212" s="72"/>
      <c r="AP212" s="72"/>
      <c r="AQ212" s="72"/>
      <c r="AR212" s="72"/>
    </row>
    <row r="213" spans="1:44" ht="12.75">
      <c r="A213" s="197">
        <v>213</v>
      </c>
      <c r="B213" s="306" t="s">
        <v>185</v>
      </c>
      <c r="C213" s="314" t="s">
        <v>164</v>
      </c>
      <c r="D213" s="15">
        <v>11.6</v>
      </c>
      <c r="E213" s="15">
        <v>12</v>
      </c>
      <c r="F213" s="64">
        <v>27039</v>
      </c>
      <c r="G213" s="14">
        <v>400</v>
      </c>
      <c r="H213" s="51"/>
      <c r="I213" s="259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>
        <v>96</v>
      </c>
      <c r="W213" s="18">
        <v>229</v>
      </c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225"/>
      <c r="AK213" s="123">
        <f t="shared" si="26"/>
        <v>325</v>
      </c>
      <c r="AL213" s="125"/>
      <c r="AM213" s="111" t="s">
        <v>460</v>
      </c>
      <c r="AN213" s="72"/>
      <c r="AO213" s="72"/>
      <c r="AP213" s="72"/>
      <c r="AQ213" s="72"/>
      <c r="AR213" s="72"/>
    </row>
    <row r="214" spans="1:44" ht="12.75">
      <c r="A214" s="414">
        <v>214</v>
      </c>
      <c r="B214" s="306" t="s">
        <v>23</v>
      </c>
      <c r="C214" s="314" t="s">
        <v>164</v>
      </c>
      <c r="D214" s="15">
        <v>13.9</v>
      </c>
      <c r="E214" s="15">
        <v>12</v>
      </c>
      <c r="F214" s="64">
        <v>45861</v>
      </c>
      <c r="G214" s="14">
        <v>450</v>
      </c>
      <c r="H214" s="51"/>
      <c r="I214" s="259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>
        <v>260</v>
      </c>
      <c r="Y214" s="18">
        <v>345</v>
      </c>
      <c r="Z214" s="18">
        <v>406</v>
      </c>
      <c r="AA214" s="18">
        <v>720</v>
      </c>
      <c r="AB214" s="18">
        <v>865</v>
      </c>
      <c r="AC214" s="18"/>
      <c r="AD214" s="18"/>
      <c r="AE214" s="18"/>
      <c r="AF214" s="18"/>
      <c r="AG214" s="18"/>
      <c r="AH214" s="18"/>
      <c r="AI214" s="18"/>
      <c r="AJ214" s="225"/>
      <c r="AK214" s="123">
        <f t="shared" si="26"/>
        <v>2596</v>
      </c>
      <c r="AL214" s="125"/>
      <c r="AM214" s="111" t="s">
        <v>461</v>
      </c>
      <c r="AN214" s="72"/>
      <c r="AO214" s="72"/>
      <c r="AP214" s="72"/>
      <c r="AQ214" s="72"/>
      <c r="AR214" s="72"/>
    </row>
    <row r="215" spans="1:44" ht="12.75">
      <c r="A215" s="197">
        <v>215</v>
      </c>
      <c r="B215" s="306" t="s">
        <v>186</v>
      </c>
      <c r="C215" s="314" t="s">
        <v>164</v>
      </c>
      <c r="D215" s="15">
        <v>14.65</v>
      </c>
      <c r="E215" s="15">
        <v>12</v>
      </c>
      <c r="F215" s="64">
        <v>45861</v>
      </c>
      <c r="G215" s="14">
        <v>500</v>
      </c>
      <c r="H215" s="51"/>
      <c r="I215" s="259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>
        <v>1</v>
      </c>
      <c r="X215" s="18">
        <v>240</v>
      </c>
      <c r="Y215" s="18">
        <v>699</v>
      </c>
      <c r="Z215" s="18">
        <v>222</v>
      </c>
      <c r="AA215" s="18">
        <v>378</v>
      </c>
      <c r="AB215" s="18">
        <v>476</v>
      </c>
      <c r="AC215" s="18">
        <v>1</v>
      </c>
      <c r="AD215" s="18"/>
      <c r="AE215" s="18"/>
      <c r="AF215" s="18"/>
      <c r="AG215" s="18"/>
      <c r="AH215" s="18"/>
      <c r="AI215" s="18"/>
      <c r="AJ215" s="225"/>
      <c r="AK215" s="123">
        <f>SUM(I215:AJ215)</f>
        <v>2017</v>
      </c>
      <c r="AL215" s="125"/>
      <c r="AM215" s="354" t="s">
        <v>462</v>
      </c>
      <c r="AN215" s="72"/>
      <c r="AO215" s="72"/>
      <c r="AP215" s="72"/>
      <c r="AQ215" s="72"/>
      <c r="AR215" s="72"/>
    </row>
    <row r="216" spans="1:44" ht="12.75">
      <c r="A216" s="414">
        <v>216</v>
      </c>
      <c r="B216" s="306" t="s">
        <v>22</v>
      </c>
      <c r="C216" s="314" t="s">
        <v>183</v>
      </c>
      <c r="D216" s="15">
        <v>13.5</v>
      </c>
      <c r="E216" s="15">
        <v>12</v>
      </c>
      <c r="F216" s="64">
        <v>45861</v>
      </c>
      <c r="G216" s="14">
        <v>500</v>
      </c>
      <c r="H216" s="51"/>
      <c r="I216" s="259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>
        <v>1</v>
      </c>
      <c r="X216" s="18"/>
      <c r="Y216" s="18">
        <v>5</v>
      </c>
      <c r="Z216" s="18">
        <v>149</v>
      </c>
      <c r="AA216" s="18"/>
      <c r="AB216" s="18"/>
      <c r="AC216" s="18"/>
      <c r="AD216" s="18"/>
      <c r="AE216" s="18"/>
      <c r="AF216" s="18"/>
      <c r="AG216" s="18"/>
      <c r="AH216" s="18"/>
      <c r="AI216" s="18"/>
      <c r="AJ216" s="225"/>
      <c r="AK216" s="123">
        <f t="shared" si="26"/>
        <v>155</v>
      </c>
      <c r="AL216" s="125"/>
      <c r="AM216" s="111" t="s">
        <v>462</v>
      </c>
      <c r="AN216" s="72"/>
      <c r="AO216" s="72"/>
      <c r="AP216" s="72"/>
      <c r="AQ216" s="72"/>
      <c r="AR216" s="72"/>
    </row>
    <row r="217" spans="1:44" ht="12.75">
      <c r="A217" s="197">
        <v>217</v>
      </c>
      <c r="B217" s="306" t="s">
        <v>184</v>
      </c>
      <c r="C217" s="314" t="s">
        <v>164</v>
      </c>
      <c r="D217" s="15">
        <v>14.65</v>
      </c>
      <c r="E217" s="142">
        <v>12</v>
      </c>
      <c r="F217" s="64">
        <v>38186</v>
      </c>
      <c r="G217" s="14">
        <v>500</v>
      </c>
      <c r="H217" s="51"/>
      <c r="I217" s="259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>
        <v>4</v>
      </c>
      <c r="AB217" s="18">
        <v>5</v>
      </c>
      <c r="AC217" s="18">
        <v>779</v>
      </c>
      <c r="AD217" s="18"/>
      <c r="AE217" s="18"/>
      <c r="AF217" s="18"/>
      <c r="AG217" s="18"/>
      <c r="AH217" s="18"/>
      <c r="AI217" s="18"/>
      <c r="AJ217" s="225"/>
      <c r="AK217" s="123">
        <f t="shared" si="26"/>
        <v>788</v>
      </c>
      <c r="AL217" s="125"/>
      <c r="AM217" s="111" t="s">
        <v>462</v>
      </c>
      <c r="AN217" s="72"/>
      <c r="AO217" s="72"/>
      <c r="AP217" s="72"/>
      <c r="AQ217" s="72"/>
      <c r="AR217" s="72"/>
    </row>
    <row r="218" spans="1:44" ht="13.5" thickBot="1">
      <c r="A218" s="414">
        <v>218</v>
      </c>
      <c r="B218" s="312" t="s">
        <v>109</v>
      </c>
      <c r="C218" s="316"/>
      <c r="D218" s="161" t="s">
        <v>93</v>
      </c>
      <c r="E218" s="12"/>
      <c r="F218" s="140"/>
      <c r="G218" s="11"/>
      <c r="H218" s="435"/>
      <c r="I218" s="259"/>
      <c r="J218" s="18"/>
      <c r="K218" s="18"/>
      <c r="L218" s="18"/>
      <c r="M218" s="18"/>
      <c r="N218" s="24"/>
      <c r="O218" s="24"/>
      <c r="P218" s="24"/>
      <c r="Q218" s="24"/>
      <c r="R218" s="24"/>
      <c r="S218" s="24"/>
      <c r="T218" s="319">
        <f aca="true" t="shared" si="28" ref="T218:AE218">SUM(T211:T217)</f>
        <v>0</v>
      </c>
      <c r="U218" s="319">
        <f>SUM(U211:U217)</f>
        <v>396</v>
      </c>
      <c r="V218" s="319">
        <f>SUM(V211:V217)</f>
        <v>1081</v>
      </c>
      <c r="W218" s="319">
        <f t="shared" si="28"/>
        <v>1091</v>
      </c>
      <c r="X218" s="319">
        <f t="shared" si="28"/>
        <v>500</v>
      </c>
      <c r="Y218" s="319">
        <f t="shared" si="28"/>
        <v>1049</v>
      </c>
      <c r="Z218" s="319">
        <f t="shared" si="28"/>
        <v>777</v>
      </c>
      <c r="AA218" s="319">
        <f t="shared" si="28"/>
        <v>1102</v>
      </c>
      <c r="AB218" s="319">
        <f t="shared" si="28"/>
        <v>1346</v>
      </c>
      <c r="AC218" s="319">
        <f t="shared" si="28"/>
        <v>780</v>
      </c>
      <c r="AD218" s="319">
        <f t="shared" si="28"/>
        <v>0</v>
      </c>
      <c r="AE218" s="319">
        <f t="shared" si="28"/>
        <v>0</v>
      </c>
      <c r="AF218" s="24"/>
      <c r="AG218" s="24"/>
      <c r="AH218" s="24"/>
      <c r="AI218" s="24"/>
      <c r="AJ218" s="258"/>
      <c r="AK218" s="359">
        <f t="shared" si="26"/>
        <v>8122</v>
      </c>
      <c r="AL218" s="360"/>
      <c r="AM218" s="120" t="s">
        <v>462</v>
      </c>
      <c r="AN218" s="73"/>
      <c r="AO218" s="73"/>
      <c r="AP218" s="73"/>
      <c r="AQ218" s="73"/>
      <c r="AR218" s="72"/>
    </row>
    <row r="219" spans="1:44" ht="12.75">
      <c r="A219" s="197">
        <v>219</v>
      </c>
      <c r="B219" s="307" t="s">
        <v>21</v>
      </c>
      <c r="C219" s="315" t="s">
        <v>168</v>
      </c>
      <c r="D219" s="21">
        <v>26.3</v>
      </c>
      <c r="E219" s="329">
        <v>12</v>
      </c>
      <c r="F219" s="144">
        <v>38186</v>
      </c>
      <c r="G219" s="7">
        <v>500</v>
      </c>
      <c r="H219" s="56"/>
      <c r="I219" s="26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26"/>
      <c r="V219" s="31"/>
      <c r="W219" s="31"/>
      <c r="X219" s="31"/>
      <c r="Y219" s="31"/>
      <c r="Z219" s="31"/>
      <c r="AA219" s="226"/>
      <c r="AB219" s="31"/>
      <c r="AC219" s="31">
        <v>115</v>
      </c>
      <c r="AD219" s="31">
        <v>1129</v>
      </c>
      <c r="AE219" s="31">
        <v>1886</v>
      </c>
      <c r="AF219" s="31">
        <v>12661</v>
      </c>
      <c r="AG219" s="31">
        <v>15710</v>
      </c>
      <c r="AH219" s="31">
        <v>3986</v>
      </c>
      <c r="AI219" s="31"/>
      <c r="AJ219" s="223"/>
      <c r="AK219" s="133">
        <f t="shared" si="26"/>
        <v>35487</v>
      </c>
      <c r="AL219" s="124" t="s">
        <v>230</v>
      </c>
      <c r="AM219" s="110" t="s">
        <v>20</v>
      </c>
      <c r="AN219" s="72"/>
      <c r="AO219" s="72"/>
      <c r="AP219" s="72"/>
      <c r="AQ219" s="72"/>
      <c r="AR219" s="72"/>
    </row>
    <row r="220" spans="1:44" ht="12.75">
      <c r="A220" s="414">
        <v>220</v>
      </c>
      <c r="B220" s="306" t="s">
        <v>19</v>
      </c>
      <c r="C220" s="314" t="s">
        <v>161</v>
      </c>
      <c r="D220" s="15">
        <v>32</v>
      </c>
      <c r="E220" s="142">
        <v>12</v>
      </c>
      <c r="F220" s="64">
        <v>38186</v>
      </c>
      <c r="G220" s="14">
        <v>500</v>
      </c>
      <c r="H220" s="51"/>
      <c r="I220" s="259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>
        <v>10662</v>
      </c>
      <c r="AI220" s="18">
        <v>6080</v>
      </c>
      <c r="AJ220" s="225"/>
      <c r="AK220" s="123">
        <f t="shared" si="26"/>
        <v>16742</v>
      </c>
      <c r="AL220" s="125">
        <f>AK220+AK219</f>
        <v>52229</v>
      </c>
      <c r="AM220" s="111"/>
      <c r="AN220" s="72"/>
      <c r="AO220" s="72"/>
      <c r="AP220" s="72"/>
      <c r="AQ220" s="72"/>
      <c r="AR220" s="72"/>
    </row>
    <row r="221" spans="1:44" ht="12.75">
      <c r="A221" s="197">
        <v>221</v>
      </c>
      <c r="B221" s="306" t="s">
        <v>18</v>
      </c>
      <c r="C221" s="314" t="s">
        <v>161</v>
      </c>
      <c r="D221" s="15">
        <v>31.5</v>
      </c>
      <c r="E221" s="142">
        <v>12</v>
      </c>
      <c r="F221" s="64">
        <v>38186</v>
      </c>
      <c r="G221" s="14">
        <v>500</v>
      </c>
      <c r="H221" s="51"/>
      <c r="I221" s="259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>
        <v>25</v>
      </c>
      <c r="AI221" s="18">
        <v>240</v>
      </c>
      <c r="AJ221" s="225"/>
      <c r="AK221" s="123">
        <f t="shared" si="26"/>
        <v>265</v>
      </c>
      <c r="AL221" s="125"/>
      <c r="AM221" s="111" t="s">
        <v>154</v>
      </c>
      <c r="AN221" s="72"/>
      <c r="AO221" s="72"/>
      <c r="AP221" s="72"/>
      <c r="AQ221" s="72"/>
      <c r="AR221" s="72"/>
    </row>
    <row r="222" spans="1:44" ht="12.75">
      <c r="A222" s="414">
        <v>222</v>
      </c>
      <c r="B222" s="306" t="s">
        <v>427</v>
      </c>
      <c r="C222" s="314" t="s">
        <v>11</v>
      </c>
      <c r="D222" s="15">
        <v>29.6</v>
      </c>
      <c r="E222" s="142">
        <v>12</v>
      </c>
      <c r="F222" s="64">
        <v>38186</v>
      </c>
      <c r="G222" s="14">
        <v>500</v>
      </c>
      <c r="H222" s="51"/>
      <c r="I222" s="259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>
        <v>26</v>
      </c>
      <c r="AG222" s="18">
        <v>612</v>
      </c>
      <c r="AH222" s="18"/>
      <c r="AI222" s="18"/>
      <c r="AJ222" s="225"/>
      <c r="AK222" s="123">
        <f t="shared" si="26"/>
        <v>638</v>
      </c>
      <c r="AL222" s="125"/>
      <c r="AM222" s="111" t="s">
        <v>155</v>
      </c>
      <c r="AN222" s="72"/>
      <c r="AO222" s="72"/>
      <c r="AP222" s="72"/>
      <c r="AQ222" s="72"/>
      <c r="AR222" s="72"/>
    </row>
    <row r="223" spans="1:44" ht="12.75">
      <c r="A223" s="197">
        <v>223</v>
      </c>
      <c r="B223" s="306" t="s">
        <v>17</v>
      </c>
      <c r="C223" s="314" t="s">
        <v>161</v>
      </c>
      <c r="D223" s="15">
        <v>29.6</v>
      </c>
      <c r="E223" s="142">
        <v>12</v>
      </c>
      <c r="F223" s="64">
        <v>38186</v>
      </c>
      <c r="G223" s="14">
        <v>500</v>
      </c>
      <c r="H223" s="51"/>
      <c r="I223" s="259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>
        <v>761</v>
      </c>
      <c r="AH223" s="18">
        <v>1578</v>
      </c>
      <c r="AI223" s="18"/>
      <c r="AJ223" s="225"/>
      <c r="AK223" s="123">
        <f t="shared" si="26"/>
        <v>2339</v>
      </c>
      <c r="AL223" s="125"/>
      <c r="AM223" s="111" t="s">
        <v>156</v>
      </c>
      <c r="AN223" s="72"/>
      <c r="AO223" s="72"/>
      <c r="AP223" s="72"/>
      <c r="AQ223" s="72"/>
      <c r="AR223" s="72"/>
    </row>
    <row r="224" spans="1:44" ht="12.75">
      <c r="A224" s="414">
        <v>224</v>
      </c>
      <c r="B224" s="311" t="s">
        <v>16</v>
      </c>
      <c r="C224" s="314" t="s">
        <v>161</v>
      </c>
      <c r="D224" s="15">
        <v>31</v>
      </c>
      <c r="E224" s="142">
        <v>12</v>
      </c>
      <c r="F224" s="64">
        <v>38186</v>
      </c>
      <c r="G224" s="154">
        <v>500</v>
      </c>
      <c r="H224" s="48"/>
      <c r="I224" s="262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>
        <v>315</v>
      </c>
      <c r="AI224" s="25"/>
      <c r="AJ224" s="231"/>
      <c r="AK224" s="123">
        <f t="shared" si="26"/>
        <v>315</v>
      </c>
      <c r="AL224" s="122"/>
      <c r="AM224" s="115" t="s">
        <v>155</v>
      </c>
      <c r="AN224" s="72"/>
      <c r="AO224" s="72"/>
      <c r="AP224" s="72"/>
      <c r="AQ224" s="72"/>
      <c r="AR224" s="72"/>
    </row>
    <row r="225" spans="1:44" ht="12.75">
      <c r="A225" s="197">
        <v>225</v>
      </c>
      <c r="B225" s="306" t="s">
        <v>15</v>
      </c>
      <c r="C225" s="314" t="s">
        <v>167</v>
      </c>
      <c r="D225" s="15">
        <v>31.6</v>
      </c>
      <c r="E225" s="142">
        <v>12</v>
      </c>
      <c r="F225" s="64">
        <v>38186</v>
      </c>
      <c r="G225" s="14">
        <v>500</v>
      </c>
      <c r="H225" s="51"/>
      <c r="I225" s="259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>
        <v>500</v>
      </c>
      <c r="AI225" s="18">
        <v>1060</v>
      </c>
      <c r="AJ225" s="225"/>
      <c r="AK225" s="123">
        <f t="shared" si="26"/>
        <v>1560</v>
      </c>
      <c r="AL225" s="125"/>
      <c r="AM225" s="111" t="s">
        <v>236</v>
      </c>
      <c r="AN225" s="78"/>
      <c r="AO225" s="78"/>
      <c r="AP225" s="78"/>
      <c r="AQ225" s="78"/>
      <c r="AR225" s="72"/>
    </row>
    <row r="226" spans="1:44" ht="13.5" thickBot="1">
      <c r="A226" s="414">
        <v>226</v>
      </c>
      <c r="B226" s="312" t="s">
        <v>110</v>
      </c>
      <c r="C226" s="316"/>
      <c r="D226" s="161" t="s">
        <v>93</v>
      </c>
      <c r="E226" s="12"/>
      <c r="F226" s="140"/>
      <c r="G226" s="11"/>
      <c r="H226" s="435"/>
      <c r="I226" s="259"/>
      <c r="J226" s="18"/>
      <c r="K226" s="18"/>
      <c r="L226" s="18"/>
      <c r="M226" s="18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319"/>
      <c r="AD226" s="319"/>
      <c r="AE226" s="319"/>
      <c r="AF226" s="319"/>
      <c r="AG226" s="319"/>
      <c r="AH226" s="319"/>
      <c r="AI226" s="319"/>
      <c r="AJ226" s="258"/>
      <c r="AK226" s="123">
        <f t="shared" si="26"/>
        <v>0</v>
      </c>
      <c r="AL226" s="132"/>
      <c r="AM226" s="120"/>
      <c r="AN226" s="73"/>
      <c r="AO226" s="73"/>
      <c r="AP226" s="73"/>
      <c r="AQ226" s="73"/>
      <c r="AR226" s="72"/>
    </row>
    <row r="227" spans="1:44" ht="12.75">
      <c r="A227" s="197">
        <v>227</v>
      </c>
      <c r="B227" s="320" t="s">
        <v>179</v>
      </c>
      <c r="C227" s="317"/>
      <c r="D227" s="23"/>
      <c r="E227" s="23"/>
      <c r="F227" s="321"/>
      <c r="G227" s="22"/>
      <c r="H227" s="56"/>
      <c r="I227" s="221"/>
      <c r="J227" s="222"/>
      <c r="K227" s="222"/>
      <c r="L227" s="222"/>
      <c r="M227" s="222"/>
      <c r="N227" s="222"/>
      <c r="O227" s="322"/>
      <c r="P227" s="322"/>
      <c r="Q227" s="322"/>
      <c r="R227" s="322"/>
      <c r="S227" s="322"/>
      <c r="T227" s="322"/>
      <c r="U227" s="322"/>
      <c r="V227" s="322"/>
      <c r="W227" s="322"/>
      <c r="X227" s="322"/>
      <c r="Y227" s="322"/>
      <c r="Z227" s="322"/>
      <c r="AA227" s="322"/>
      <c r="AB227" s="322"/>
      <c r="AC227" s="322"/>
      <c r="AD227" s="322"/>
      <c r="AE227" s="322"/>
      <c r="AF227" s="322"/>
      <c r="AG227" s="322"/>
      <c r="AH227" s="322"/>
      <c r="AI227" s="322"/>
      <c r="AJ227" s="263"/>
      <c r="AK227" s="323"/>
      <c r="AL227" s="324"/>
      <c r="AM227" s="325"/>
      <c r="AN227" s="72"/>
      <c r="AO227" s="72"/>
      <c r="AP227" s="72"/>
      <c r="AQ227" s="72"/>
      <c r="AR227" s="72"/>
    </row>
    <row r="228" spans="1:44" ht="12.75">
      <c r="A228" s="414">
        <v>228</v>
      </c>
      <c r="B228" s="307" t="s">
        <v>14</v>
      </c>
      <c r="C228" s="315" t="s">
        <v>182</v>
      </c>
      <c r="D228" s="21">
        <v>18.5</v>
      </c>
      <c r="E228" s="21" t="s">
        <v>188</v>
      </c>
      <c r="F228" s="144">
        <v>18473</v>
      </c>
      <c r="G228" s="7">
        <v>250</v>
      </c>
      <c r="H228" s="56"/>
      <c r="I228" s="26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>
        <v>25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223"/>
      <c r="AK228" s="133">
        <f t="shared" si="26"/>
        <v>25</v>
      </c>
      <c r="AL228" s="124"/>
      <c r="AM228" s="110" t="s">
        <v>463</v>
      </c>
      <c r="AN228" s="72"/>
      <c r="AO228" s="72"/>
      <c r="AP228" s="72"/>
      <c r="AQ228" s="72"/>
      <c r="AR228" s="72"/>
    </row>
    <row r="229" spans="1:44" ht="12.75">
      <c r="A229" s="197">
        <v>229</v>
      </c>
      <c r="B229" s="307" t="s">
        <v>13</v>
      </c>
      <c r="C229" s="315" t="s">
        <v>172</v>
      </c>
      <c r="D229" s="288">
        <v>29.5</v>
      </c>
      <c r="E229" s="15">
        <v>12</v>
      </c>
      <c r="F229" s="64">
        <v>45861</v>
      </c>
      <c r="G229" s="7">
        <v>500</v>
      </c>
      <c r="H229" s="56"/>
      <c r="I229" s="26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>
        <v>41</v>
      </c>
      <c r="W229" s="31">
        <v>50</v>
      </c>
      <c r="X229" s="31">
        <v>32</v>
      </c>
      <c r="Y229" s="31">
        <v>101</v>
      </c>
      <c r="Z229" s="31">
        <v>39</v>
      </c>
      <c r="AA229" s="31">
        <v>96</v>
      </c>
      <c r="AB229" s="31">
        <v>131</v>
      </c>
      <c r="AC229" s="31">
        <v>13</v>
      </c>
      <c r="AD229" s="31"/>
      <c r="AE229" s="31"/>
      <c r="AF229" s="31"/>
      <c r="AG229" s="31"/>
      <c r="AH229" s="31"/>
      <c r="AI229" s="31"/>
      <c r="AJ229" s="223"/>
      <c r="AK229" s="123">
        <f t="shared" si="26"/>
        <v>503</v>
      </c>
      <c r="AL229" s="124"/>
      <c r="AM229" s="110" t="s">
        <v>464</v>
      </c>
      <c r="AN229" s="72"/>
      <c r="AO229" s="72"/>
      <c r="AP229" s="72"/>
      <c r="AQ229" s="72"/>
      <c r="AR229" s="72"/>
    </row>
    <row r="230" spans="1:44" ht="12.75">
      <c r="A230" s="414">
        <v>230</v>
      </c>
      <c r="B230" s="306" t="s">
        <v>12</v>
      </c>
      <c r="C230" s="314" t="s">
        <v>173</v>
      </c>
      <c r="D230" s="15">
        <v>50</v>
      </c>
      <c r="E230" s="15">
        <v>12</v>
      </c>
      <c r="F230" s="64">
        <v>45861</v>
      </c>
      <c r="G230" s="14">
        <v>500</v>
      </c>
      <c r="H230" s="51"/>
      <c r="I230" s="259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>
        <v>2</v>
      </c>
      <c r="W230" s="18">
        <v>10</v>
      </c>
      <c r="X230" s="18">
        <v>7</v>
      </c>
      <c r="Y230" s="18">
        <v>15</v>
      </c>
      <c r="Z230" s="18">
        <v>10</v>
      </c>
      <c r="AA230" s="18">
        <v>11</v>
      </c>
      <c r="AB230" s="18">
        <v>6</v>
      </c>
      <c r="AC230" s="18"/>
      <c r="AD230" s="18"/>
      <c r="AE230" s="18"/>
      <c r="AF230" s="18"/>
      <c r="AG230" s="18"/>
      <c r="AH230" s="18"/>
      <c r="AI230" s="18"/>
      <c r="AJ230" s="225"/>
      <c r="AK230" s="123">
        <f t="shared" si="26"/>
        <v>61</v>
      </c>
      <c r="AL230" s="125"/>
      <c r="AM230" s="111" t="s">
        <v>465</v>
      </c>
      <c r="AN230" s="72"/>
      <c r="AO230" s="72"/>
      <c r="AP230" s="72"/>
      <c r="AQ230" s="72"/>
      <c r="AR230" s="72"/>
    </row>
    <row r="231" spans="1:44" ht="12.75">
      <c r="A231" s="197">
        <v>231</v>
      </c>
      <c r="B231" s="306" t="s">
        <v>430</v>
      </c>
      <c r="C231" s="314" t="s">
        <v>168</v>
      </c>
      <c r="D231" s="15">
        <v>47.5</v>
      </c>
      <c r="E231" s="142">
        <v>12</v>
      </c>
      <c r="F231" s="64">
        <v>38186</v>
      </c>
      <c r="G231" s="14">
        <v>600</v>
      </c>
      <c r="H231" s="51"/>
      <c r="I231" s="259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>
        <v>1</v>
      </c>
      <c r="AC231" s="18">
        <v>141</v>
      </c>
      <c r="AD231" s="18">
        <v>282</v>
      </c>
      <c r="AE231" s="18">
        <v>772</v>
      </c>
      <c r="AF231" s="18">
        <f>1802+624</f>
        <v>2426</v>
      </c>
      <c r="AG231" s="18">
        <f>459+10</f>
        <v>469</v>
      </c>
      <c r="AH231" s="18"/>
      <c r="AI231" s="18"/>
      <c r="AJ231" s="225"/>
      <c r="AK231" s="123">
        <f t="shared" si="26"/>
        <v>4091</v>
      </c>
      <c r="AL231" s="125"/>
      <c r="AM231" s="111" t="s">
        <v>158</v>
      </c>
      <c r="AN231" s="72"/>
      <c r="AO231" s="72"/>
      <c r="AP231" s="72"/>
      <c r="AQ231" s="72"/>
      <c r="AR231" s="72"/>
    </row>
    <row r="232" spans="1:44" ht="12.75">
      <c r="A232" s="414">
        <v>232</v>
      </c>
      <c r="B232" s="306" t="s">
        <v>431</v>
      </c>
      <c r="C232" s="314" t="s">
        <v>161</v>
      </c>
      <c r="D232" s="15">
        <v>43.2</v>
      </c>
      <c r="E232" s="142">
        <v>12</v>
      </c>
      <c r="F232" s="64">
        <v>38186</v>
      </c>
      <c r="G232" s="14">
        <v>600</v>
      </c>
      <c r="H232" s="51"/>
      <c r="I232" s="259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>
        <v>148</v>
      </c>
      <c r="AH232" s="18"/>
      <c r="AI232" s="18"/>
      <c r="AJ232" s="225"/>
      <c r="AK232" s="123">
        <f t="shared" si="26"/>
        <v>148</v>
      </c>
      <c r="AL232" s="125"/>
      <c r="AM232" s="314" t="s">
        <v>157</v>
      </c>
      <c r="AN232" s="72"/>
      <c r="AO232" s="72"/>
      <c r="AP232" s="72"/>
      <c r="AQ232" s="72"/>
      <c r="AR232" s="72"/>
    </row>
    <row r="233" spans="1:44" ht="12.75">
      <c r="A233" s="197">
        <v>233</v>
      </c>
      <c r="B233" s="306" t="s">
        <v>432</v>
      </c>
      <c r="C233" s="318" t="s">
        <v>10</v>
      </c>
      <c r="D233" s="15">
        <v>52</v>
      </c>
      <c r="E233" s="142">
        <v>12</v>
      </c>
      <c r="F233" s="64">
        <v>38186</v>
      </c>
      <c r="G233" s="14">
        <v>600</v>
      </c>
      <c r="H233" s="51"/>
      <c r="I233" s="259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>
        <v>102</v>
      </c>
      <c r="AD233" s="18">
        <v>111</v>
      </c>
      <c r="AE233" s="264"/>
      <c r="AF233" s="18"/>
      <c r="AG233" s="18"/>
      <c r="AH233" s="18"/>
      <c r="AI233" s="18"/>
      <c r="AJ233" s="225"/>
      <c r="AK233" s="123">
        <f t="shared" si="26"/>
        <v>213</v>
      </c>
      <c r="AL233" s="125"/>
      <c r="AM233" s="111" t="s">
        <v>159</v>
      </c>
      <c r="AN233" s="72"/>
      <c r="AO233" s="72"/>
      <c r="AP233" s="72"/>
      <c r="AQ233" s="72"/>
      <c r="AR233" s="72"/>
    </row>
    <row r="234" spans="1:44" ht="12.75">
      <c r="A234" s="414">
        <v>234</v>
      </c>
      <c r="B234" s="306" t="s">
        <v>429</v>
      </c>
      <c r="C234" s="314" t="s">
        <v>161</v>
      </c>
      <c r="D234" s="19">
        <v>44.5</v>
      </c>
      <c r="E234" s="142">
        <v>12</v>
      </c>
      <c r="F234" s="64">
        <v>38186</v>
      </c>
      <c r="G234" s="14">
        <v>520</v>
      </c>
      <c r="H234" s="50"/>
      <c r="I234" s="259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>
        <v>67</v>
      </c>
      <c r="AH234" s="17">
        <v>40</v>
      </c>
      <c r="AI234" s="18"/>
      <c r="AJ234" s="225"/>
      <c r="AK234" s="123">
        <f t="shared" si="26"/>
        <v>107</v>
      </c>
      <c r="AL234" s="125"/>
      <c r="AM234" s="111" t="s">
        <v>160</v>
      </c>
      <c r="AN234" s="72"/>
      <c r="AO234" s="72"/>
      <c r="AP234" s="72"/>
      <c r="AQ234" s="72"/>
      <c r="AR234" s="72"/>
    </row>
    <row r="235" spans="1:44" ht="12.75">
      <c r="A235" s="197">
        <v>235</v>
      </c>
      <c r="B235" s="306" t="s">
        <v>433</v>
      </c>
      <c r="C235" s="314" t="s">
        <v>11</v>
      </c>
      <c r="D235" s="15">
        <v>46.2</v>
      </c>
      <c r="E235" s="142">
        <v>12</v>
      </c>
      <c r="F235" s="64">
        <v>38186</v>
      </c>
      <c r="G235" s="14">
        <v>520</v>
      </c>
      <c r="H235" s="51"/>
      <c r="I235" s="259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>
        <v>35</v>
      </c>
      <c r="AH235" s="17">
        <v>2210</v>
      </c>
      <c r="AI235" s="18">
        <f>1140-155</f>
        <v>985</v>
      </c>
      <c r="AJ235" s="225"/>
      <c r="AK235" s="123">
        <f t="shared" si="26"/>
        <v>3230</v>
      </c>
      <c r="AL235" s="125"/>
      <c r="AM235" s="111" t="s">
        <v>157</v>
      </c>
      <c r="AN235" s="72"/>
      <c r="AO235" s="72"/>
      <c r="AP235" s="72"/>
      <c r="AQ235" s="72"/>
      <c r="AR235" s="72"/>
    </row>
    <row r="236" spans="1:44" ht="12.75">
      <c r="A236" s="414">
        <v>236</v>
      </c>
      <c r="B236" s="306" t="s">
        <v>434</v>
      </c>
      <c r="C236" s="314" t="s">
        <v>11</v>
      </c>
      <c r="D236" s="15">
        <v>46</v>
      </c>
      <c r="E236" s="142">
        <v>12</v>
      </c>
      <c r="F236" s="64">
        <v>38186</v>
      </c>
      <c r="G236" s="14">
        <v>520</v>
      </c>
      <c r="H236" s="51"/>
      <c r="I236" s="259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265"/>
      <c r="AI236" s="18">
        <v>25</v>
      </c>
      <c r="AJ236" s="225"/>
      <c r="AK236" s="123">
        <f t="shared" si="26"/>
        <v>25</v>
      </c>
      <c r="AL236" s="125"/>
      <c r="AM236" s="111" t="s">
        <v>157</v>
      </c>
      <c r="AN236" s="72"/>
      <c r="AO236" s="72"/>
      <c r="AP236" s="72"/>
      <c r="AQ236" s="72"/>
      <c r="AR236" s="72"/>
    </row>
    <row r="237" spans="1:44" ht="12.75">
      <c r="A237" s="197">
        <v>237</v>
      </c>
      <c r="B237" s="306" t="s">
        <v>435</v>
      </c>
      <c r="C237" s="314" t="s">
        <v>10</v>
      </c>
      <c r="D237" s="15">
        <v>45.5</v>
      </c>
      <c r="E237" s="142">
        <v>12</v>
      </c>
      <c r="F237" s="64">
        <v>38186</v>
      </c>
      <c r="G237" s="14">
        <v>600</v>
      </c>
      <c r="H237" s="51"/>
      <c r="I237" s="259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>
        <v>668</v>
      </c>
      <c r="AH237" s="17">
        <v>2</v>
      </c>
      <c r="AI237" s="18"/>
      <c r="AJ237" s="225"/>
      <c r="AK237" s="123">
        <f t="shared" si="26"/>
        <v>670</v>
      </c>
      <c r="AL237" s="125"/>
      <c r="AM237" s="111" t="s">
        <v>157</v>
      </c>
      <c r="AN237" s="72"/>
      <c r="AO237" s="72"/>
      <c r="AP237" s="72"/>
      <c r="AQ237" s="72"/>
      <c r="AR237" s="72"/>
    </row>
    <row r="238" spans="1:44" ht="12.75">
      <c r="A238" s="414">
        <v>238</v>
      </c>
      <c r="B238" s="306" t="s">
        <v>436</v>
      </c>
      <c r="C238" s="111" t="s">
        <v>11</v>
      </c>
      <c r="D238" s="15">
        <v>41.2</v>
      </c>
      <c r="E238" s="142">
        <v>12</v>
      </c>
      <c r="F238" s="64">
        <v>38186</v>
      </c>
      <c r="G238" s="14">
        <v>520</v>
      </c>
      <c r="H238" s="51"/>
      <c r="I238" s="259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>
        <f>984+225</f>
        <v>1209</v>
      </c>
      <c r="AI238" s="17">
        <f>490+250</f>
        <v>740</v>
      </c>
      <c r="AJ238" s="225"/>
      <c r="AK238" s="123">
        <f t="shared" si="26"/>
        <v>1949</v>
      </c>
      <c r="AL238" s="125"/>
      <c r="AM238" s="111" t="s">
        <v>157</v>
      </c>
      <c r="AN238" s="72"/>
      <c r="AO238" s="72"/>
      <c r="AP238" s="72"/>
      <c r="AQ238" s="72"/>
      <c r="AR238" s="72"/>
    </row>
    <row r="239" spans="1:44" ht="12.75">
      <c r="A239" s="197">
        <v>239</v>
      </c>
      <c r="B239" s="306" t="s">
        <v>437</v>
      </c>
      <c r="C239" s="111" t="s">
        <v>10</v>
      </c>
      <c r="D239" s="15">
        <v>41.8</v>
      </c>
      <c r="E239" s="142">
        <v>12</v>
      </c>
      <c r="F239" s="64">
        <v>38186</v>
      </c>
      <c r="G239" s="14">
        <v>520</v>
      </c>
      <c r="H239" s="51"/>
      <c r="I239" s="259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>
        <v>35</v>
      </c>
      <c r="AH239" s="18">
        <v>1340</v>
      </c>
      <c r="AI239" s="17">
        <v>510</v>
      </c>
      <c r="AJ239" s="225"/>
      <c r="AK239" s="123">
        <f t="shared" si="26"/>
        <v>1885</v>
      </c>
      <c r="AL239" s="125"/>
      <c r="AM239" s="111" t="s">
        <v>157</v>
      </c>
      <c r="AN239" s="72"/>
      <c r="AO239" s="72"/>
      <c r="AP239" s="72"/>
      <c r="AQ239" s="72"/>
      <c r="AR239" s="72"/>
    </row>
    <row r="240" spans="1:44" ht="12.75">
      <c r="A240" s="414">
        <v>240</v>
      </c>
      <c r="B240" s="310" t="s">
        <v>113</v>
      </c>
      <c r="C240" s="15"/>
      <c r="D240" s="205" t="s">
        <v>93</v>
      </c>
      <c r="E240" s="15"/>
      <c r="F240" s="16"/>
      <c r="G240" s="14"/>
      <c r="H240" s="51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06">
        <f aca="true" t="shared" si="29" ref="T240:AI240">SUM(T228:T239)</f>
        <v>25</v>
      </c>
      <c r="U240" s="206">
        <f t="shared" si="29"/>
        <v>0</v>
      </c>
      <c r="V240" s="206">
        <f t="shared" si="29"/>
        <v>43</v>
      </c>
      <c r="W240" s="206">
        <f t="shared" si="29"/>
        <v>60</v>
      </c>
      <c r="X240" s="206">
        <f t="shared" si="29"/>
        <v>39</v>
      </c>
      <c r="Y240" s="206">
        <f t="shared" si="29"/>
        <v>116</v>
      </c>
      <c r="Z240" s="206">
        <f t="shared" si="29"/>
        <v>49</v>
      </c>
      <c r="AA240" s="206">
        <f t="shared" si="29"/>
        <v>107</v>
      </c>
      <c r="AB240" s="206">
        <f t="shared" si="29"/>
        <v>138</v>
      </c>
      <c r="AC240" s="206">
        <f t="shared" si="29"/>
        <v>256</v>
      </c>
      <c r="AD240" s="206">
        <f t="shared" si="29"/>
        <v>393</v>
      </c>
      <c r="AE240" s="206">
        <f t="shared" si="29"/>
        <v>772</v>
      </c>
      <c r="AF240" s="206">
        <f t="shared" si="29"/>
        <v>2426</v>
      </c>
      <c r="AG240" s="206">
        <f t="shared" si="29"/>
        <v>1422</v>
      </c>
      <c r="AH240" s="206">
        <f t="shared" si="29"/>
        <v>4801</v>
      </c>
      <c r="AI240" s="206">
        <f t="shared" si="29"/>
        <v>2260</v>
      </c>
      <c r="AJ240" s="225"/>
      <c r="AK240" s="357">
        <f t="shared" si="26"/>
        <v>12907</v>
      </c>
      <c r="AL240" s="157"/>
      <c r="AM240" s="111"/>
      <c r="AN240" s="72"/>
      <c r="AO240" s="72"/>
      <c r="AP240" s="72"/>
      <c r="AQ240" s="72"/>
      <c r="AR240" s="72"/>
    </row>
    <row r="241" spans="1:44" ht="12.75">
      <c r="A241" s="197">
        <v>241</v>
      </c>
      <c r="B241" s="98" t="s">
        <v>42</v>
      </c>
      <c r="C241" s="175" t="s">
        <v>101</v>
      </c>
      <c r="D241" s="159" t="s">
        <v>96</v>
      </c>
      <c r="E241" s="101"/>
      <c r="F241" s="273"/>
      <c r="G241" s="102"/>
      <c r="H241" s="103">
        <f aca="true" t="shared" si="30" ref="H241:AI241">SUM(H182:H239)-H226-H218-H210-H192</f>
        <v>0</v>
      </c>
      <c r="I241" s="103">
        <f t="shared" si="30"/>
        <v>2</v>
      </c>
      <c r="J241" s="103">
        <f t="shared" si="30"/>
        <v>13</v>
      </c>
      <c r="K241" s="103">
        <f t="shared" si="30"/>
        <v>0</v>
      </c>
      <c r="L241" s="103">
        <f t="shared" si="30"/>
        <v>0</v>
      </c>
      <c r="M241" s="103">
        <f t="shared" si="30"/>
        <v>0</v>
      </c>
      <c r="N241" s="103">
        <f t="shared" si="30"/>
        <v>0</v>
      </c>
      <c r="O241" s="103">
        <f t="shared" si="30"/>
        <v>2</v>
      </c>
      <c r="P241" s="103">
        <f t="shared" si="30"/>
        <v>23</v>
      </c>
      <c r="Q241" s="103">
        <f t="shared" si="30"/>
        <v>85</v>
      </c>
      <c r="R241" s="103">
        <f t="shared" si="30"/>
        <v>317</v>
      </c>
      <c r="S241" s="103">
        <f t="shared" si="30"/>
        <v>90</v>
      </c>
      <c r="T241" s="103">
        <f t="shared" si="30"/>
        <v>835</v>
      </c>
      <c r="U241" s="103">
        <f t="shared" si="30"/>
        <v>3121</v>
      </c>
      <c r="V241" s="103">
        <f t="shared" si="30"/>
        <v>3819</v>
      </c>
      <c r="W241" s="103">
        <f t="shared" si="30"/>
        <v>3556</v>
      </c>
      <c r="X241" s="103">
        <f t="shared" si="30"/>
        <v>2994</v>
      </c>
      <c r="Y241" s="103">
        <f t="shared" si="30"/>
        <v>3905</v>
      </c>
      <c r="Z241" s="103">
        <f t="shared" si="30"/>
        <v>1558</v>
      </c>
      <c r="AA241" s="103">
        <f t="shared" si="30"/>
        <v>2270</v>
      </c>
      <c r="AB241" s="103">
        <f t="shared" si="30"/>
        <v>3034</v>
      </c>
      <c r="AC241" s="103">
        <f t="shared" si="30"/>
        <v>2793</v>
      </c>
      <c r="AD241" s="103">
        <f t="shared" si="30"/>
        <v>1703</v>
      </c>
      <c r="AE241" s="103">
        <f t="shared" si="30"/>
        <v>4900</v>
      </c>
      <c r="AF241" s="103">
        <f t="shared" si="30"/>
        <v>24513</v>
      </c>
      <c r="AG241" s="103">
        <f t="shared" si="30"/>
        <v>24092</v>
      </c>
      <c r="AH241" s="103">
        <f t="shared" si="30"/>
        <v>29022</v>
      </c>
      <c r="AI241" s="103">
        <f t="shared" si="30"/>
        <v>12618</v>
      </c>
      <c r="AJ241" s="266"/>
      <c r="AK241" s="126">
        <f>SUM(I241:AJ241)</f>
        <v>125265</v>
      </c>
      <c r="AL241" s="127"/>
      <c r="AM241" s="121"/>
      <c r="AN241" s="83"/>
      <c r="AO241" s="83"/>
      <c r="AP241" s="83"/>
      <c r="AQ241" s="83"/>
      <c r="AR241" s="72"/>
    </row>
    <row r="242" spans="1:44" ht="12.75">
      <c r="A242" s="414">
        <v>242</v>
      </c>
      <c r="B242" s="98" t="s">
        <v>42</v>
      </c>
      <c r="C242" s="169"/>
      <c r="D242" s="170" t="s">
        <v>45</v>
      </c>
      <c r="E242" s="171"/>
      <c r="F242" s="275"/>
      <c r="G242" s="172"/>
      <c r="H242" s="182">
        <f aca="true" t="shared" si="31" ref="H242:AI242">$D200*H200+$D201*H201+$D182*H182+$D183*H183+$D184*H184+$D185*H185+$D186*H186+$D187*H187+$D188*H188+$D189*H189+$D190*H190+$D191*H191+$D209*H209+$D193*H193+$D194*H194+$D195*H195+$D196*H196+$D197*H197+$D198*H198+$D202*H202+$D203*H203+$D206*H206+$D207*H207+$D204*H204+$D205*H205+$D208*H208+$D211*H211+$D212*H212+$D213*H213+$D214*H214+$D216*H216+$D217*H217+$D215*H215+$D219*H219+$D220*H220+$D221*H221+$D222*H222+$D223*H223+$D224*H224+$D225*H225+$D228*H228+$D229*H229+$D230*H230+$D231*H231+$D232*H232+$D233*H233+$D234*H234+$D235*H235+$D236*H236+$D237*H237+$D238*H238+$D239*H239</f>
        <v>0</v>
      </c>
      <c r="I242" s="182">
        <f t="shared" si="31"/>
        <v>14</v>
      </c>
      <c r="J242" s="182">
        <f t="shared" si="31"/>
        <v>91</v>
      </c>
      <c r="K242" s="182">
        <f t="shared" si="31"/>
        <v>0</v>
      </c>
      <c r="L242" s="182">
        <f t="shared" si="31"/>
        <v>0</v>
      </c>
      <c r="M242" s="182">
        <f t="shared" si="31"/>
        <v>0</v>
      </c>
      <c r="N242" s="182">
        <f t="shared" si="31"/>
        <v>0</v>
      </c>
      <c r="O242" s="182">
        <f t="shared" si="31"/>
        <v>11</v>
      </c>
      <c r="P242" s="182">
        <f t="shared" si="31"/>
        <v>126.5</v>
      </c>
      <c r="Q242" s="182">
        <f t="shared" si="31"/>
        <v>467.5</v>
      </c>
      <c r="R242" s="182">
        <f t="shared" si="31"/>
        <v>1743.5</v>
      </c>
      <c r="S242" s="182">
        <f t="shared" si="31"/>
        <v>495</v>
      </c>
      <c r="T242" s="182">
        <f t="shared" si="31"/>
        <v>3989</v>
      </c>
      <c r="U242" s="182">
        <f t="shared" si="31"/>
        <v>17389.5</v>
      </c>
      <c r="V242" s="182">
        <f t="shared" si="31"/>
        <v>29248.399999999994</v>
      </c>
      <c r="W242" s="182">
        <f t="shared" si="31"/>
        <v>31269.350000000006</v>
      </c>
      <c r="X242" s="182">
        <f t="shared" si="31"/>
        <v>24294.1</v>
      </c>
      <c r="Y242" s="182">
        <f t="shared" si="31"/>
        <v>35585.05</v>
      </c>
      <c r="Z242" s="182">
        <f t="shared" si="31"/>
        <v>18229.3</v>
      </c>
      <c r="AA242" s="182">
        <f t="shared" si="31"/>
        <v>28882.7</v>
      </c>
      <c r="AB242" s="182">
        <f t="shared" si="31"/>
        <v>37139.7</v>
      </c>
      <c r="AC242" s="182">
        <f t="shared" si="31"/>
        <v>42288.9</v>
      </c>
      <c r="AD242" s="182">
        <f t="shared" si="31"/>
        <v>49873.3</v>
      </c>
      <c r="AE242" s="182">
        <f t="shared" si="31"/>
        <v>99217.16</v>
      </c>
      <c r="AF242" s="182">
        <f t="shared" si="31"/>
        <v>521180.13</v>
      </c>
      <c r="AG242" s="182">
        <f t="shared" si="31"/>
        <v>577904.13</v>
      </c>
      <c r="AH242" s="182">
        <f t="shared" si="31"/>
        <v>811870.9000000001</v>
      </c>
      <c r="AI242" s="182">
        <f t="shared" si="31"/>
        <v>368623.8</v>
      </c>
      <c r="AJ242" s="267"/>
      <c r="AK242" s="358">
        <f>SUM(I242:AJ242)</f>
        <v>2699933.92</v>
      </c>
      <c r="AL242" s="127"/>
      <c r="AM242" s="174"/>
      <c r="AN242" s="83"/>
      <c r="AO242" s="83"/>
      <c r="AP242" s="83"/>
      <c r="AQ242" s="83"/>
      <c r="AR242" s="72"/>
    </row>
    <row r="243" spans="1:44" ht="12.75">
      <c r="A243" s="197">
        <v>243</v>
      </c>
      <c r="B243" s="341"/>
      <c r="C243" s="342"/>
      <c r="D243" s="343"/>
      <c r="E243" s="342"/>
      <c r="F243" s="344"/>
      <c r="G243" s="345"/>
      <c r="H243" s="343"/>
      <c r="I243" s="346"/>
      <c r="J243" s="346"/>
      <c r="K243" s="346"/>
      <c r="L243" s="346"/>
      <c r="M243" s="346"/>
      <c r="N243" s="346"/>
      <c r="O243" s="346"/>
      <c r="P243" s="346"/>
      <c r="Q243" s="346"/>
      <c r="R243" s="346"/>
      <c r="S243" s="346"/>
      <c r="T243" s="346"/>
      <c r="U243" s="346"/>
      <c r="V243" s="346"/>
      <c r="W243" s="346"/>
      <c r="X243" s="346"/>
      <c r="Y243" s="346"/>
      <c r="Z243" s="346"/>
      <c r="AA243" s="346"/>
      <c r="AB243" s="346"/>
      <c r="AC243" s="346"/>
      <c r="AD243" s="346"/>
      <c r="AE243" s="346"/>
      <c r="AF243" s="346"/>
      <c r="AG243" s="346"/>
      <c r="AH243" s="346"/>
      <c r="AI243" s="346"/>
      <c r="AJ243" s="346"/>
      <c r="AK243" s="347"/>
      <c r="AL243" s="348"/>
      <c r="AM243" s="346"/>
      <c r="AN243" s="342"/>
      <c r="AO243" s="342"/>
      <c r="AP243" s="342"/>
      <c r="AQ243" s="342"/>
      <c r="AR243" s="72"/>
    </row>
    <row r="244" spans="1:37" ht="12.75">
      <c r="A244" s="414"/>
      <c r="AK244" s="502"/>
    </row>
    <row r="245" spans="1:44" ht="12.75">
      <c r="A245" s="197"/>
      <c r="B245" s="306"/>
      <c r="C245" s="15"/>
      <c r="D245" s="220"/>
      <c r="E245" s="16"/>
      <c r="F245" s="16"/>
      <c r="G245" s="14"/>
      <c r="H245" s="501"/>
      <c r="I245" s="501"/>
      <c r="J245" s="501"/>
      <c r="K245" s="501"/>
      <c r="L245" s="501"/>
      <c r="M245" s="501"/>
      <c r="N245" s="501"/>
      <c r="O245" s="501"/>
      <c r="P245" s="501"/>
      <c r="Q245" s="501"/>
      <c r="R245" s="501"/>
      <c r="S245" s="501"/>
      <c r="T245" s="501"/>
      <c r="U245" s="501"/>
      <c r="V245" s="501"/>
      <c r="W245" s="501"/>
      <c r="X245" s="501"/>
      <c r="Y245" s="501"/>
      <c r="Z245" s="501"/>
      <c r="AA245" s="501"/>
      <c r="AB245" s="501"/>
      <c r="AC245" s="501"/>
      <c r="AD245" s="501"/>
      <c r="AE245" s="501"/>
      <c r="AF245" s="501"/>
      <c r="AG245" s="501"/>
      <c r="AH245" s="501"/>
      <c r="AI245" s="501"/>
      <c r="AJ245" s="501"/>
      <c r="AK245" s="133"/>
      <c r="AL245" s="426"/>
      <c r="AM245" s="111"/>
      <c r="AN245" s="72"/>
      <c r="AO245" s="72"/>
      <c r="AP245" s="72"/>
      <c r="AQ245" s="72"/>
      <c r="AR245" s="72"/>
    </row>
    <row r="246" spans="1:44" ht="12.75">
      <c r="A246" s="414"/>
      <c r="B246" s="306"/>
      <c r="C246" s="15"/>
      <c r="D246" s="220"/>
      <c r="E246" s="16"/>
      <c r="F246" s="16"/>
      <c r="G246" s="14"/>
      <c r="H246" s="501"/>
      <c r="I246" s="501"/>
      <c r="J246" s="501"/>
      <c r="K246" s="501"/>
      <c r="L246" s="501"/>
      <c r="M246" s="501"/>
      <c r="N246" s="501"/>
      <c r="O246" s="501"/>
      <c r="P246" s="501"/>
      <c r="Q246" s="501"/>
      <c r="R246" s="501"/>
      <c r="S246" s="501"/>
      <c r="T246" s="501"/>
      <c r="U246" s="501"/>
      <c r="V246" s="501"/>
      <c r="W246" s="501"/>
      <c r="X246" s="501"/>
      <c r="Y246" s="501"/>
      <c r="Z246" s="501"/>
      <c r="AA246" s="501"/>
      <c r="AB246" s="501"/>
      <c r="AC246" s="501"/>
      <c r="AD246" s="501"/>
      <c r="AE246" s="501"/>
      <c r="AF246" s="501"/>
      <c r="AG246" s="501"/>
      <c r="AH246" s="501"/>
      <c r="AI246" s="501"/>
      <c r="AJ246" s="501"/>
      <c r="AK246" s="123"/>
      <c r="AL246" s="426"/>
      <c r="AM246" s="111"/>
      <c r="AN246" s="72"/>
      <c r="AO246" s="72"/>
      <c r="AP246" s="72"/>
      <c r="AQ246" s="72"/>
      <c r="AR246" s="72"/>
    </row>
    <row r="247" spans="1:44" ht="12.75">
      <c r="A247" s="197"/>
      <c r="B247" s="306"/>
      <c r="C247" s="15"/>
      <c r="D247" s="220"/>
      <c r="E247" s="16"/>
      <c r="F247" s="16"/>
      <c r="G247" s="14"/>
      <c r="H247" s="501"/>
      <c r="I247" s="501"/>
      <c r="J247" s="501"/>
      <c r="K247" s="501"/>
      <c r="L247" s="501"/>
      <c r="M247" s="501"/>
      <c r="N247" s="501"/>
      <c r="O247" s="501"/>
      <c r="P247" s="501"/>
      <c r="Q247" s="501"/>
      <c r="R247" s="501"/>
      <c r="S247" s="501"/>
      <c r="T247" s="501"/>
      <c r="U247" s="501"/>
      <c r="V247" s="501"/>
      <c r="W247" s="501"/>
      <c r="X247" s="501"/>
      <c r="Y247" s="501"/>
      <c r="Z247" s="501"/>
      <c r="AA247" s="501"/>
      <c r="AB247" s="501"/>
      <c r="AC247" s="501"/>
      <c r="AD247" s="501"/>
      <c r="AE247" s="501"/>
      <c r="AF247" s="501"/>
      <c r="AG247" s="501"/>
      <c r="AH247" s="501"/>
      <c r="AI247" s="501"/>
      <c r="AJ247" s="501"/>
      <c r="AK247" s="123"/>
      <c r="AL247" s="426"/>
      <c r="AM247" s="111"/>
      <c r="AN247" s="72"/>
      <c r="AO247" s="72"/>
      <c r="AP247" s="72"/>
      <c r="AQ247" s="72"/>
      <c r="AR247" s="72"/>
    </row>
    <row r="248" spans="1:44" ht="12.75">
      <c r="A248" s="414"/>
      <c r="B248" s="306"/>
      <c r="C248" s="15"/>
      <c r="D248" s="220"/>
      <c r="E248" s="16"/>
      <c r="F248" s="16"/>
      <c r="G248" s="14"/>
      <c r="H248" s="501"/>
      <c r="I248" s="501"/>
      <c r="J248" s="501"/>
      <c r="K248" s="501"/>
      <c r="L248" s="501"/>
      <c r="M248" s="501"/>
      <c r="N248" s="501"/>
      <c r="O248" s="501"/>
      <c r="P248" s="501"/>
      <c r="Q248" s="501"/>
      <c r="R248" s="501"/>
      <c r="S248" s="501"/>
      <c r="T248" s="501"/>
      <c r="U248" s="501"/>
      <c r="V248" s="501"/>
      <c r="W248" s="501"/>
      <c r="X248" s="501"/>
      <c r="Y248" s="501"/>
      <c r="Z248" s="501"/>
      <c r="AA248" s="501"/>
      <c r="AB248" s="501"/>
      <c r="AC248" s="501"/>
      <c r="AD248" s="501"/>
      <c r="AE248" s="501"/>
      <c r="AF248" s="501"/>
      <c r="AG248" s="501"/>
      <c r="AH248" s="501"/>
      <c r="AI248" s="501"/>
      <c r="AJ248" s="501"/>
      <c r="AK248" s="123"/>
      <c r="AL248" s="426"/>
      <c r="AM248" s="111"/>
      <c r="AN248" s="72"/>
      <c r="AO248" s="72"/>
      <c r="AP248" s="72"/>
      <c r="AQ248" s="72"/>
      <c r="AR248" s="72"/>
    </row>
    <row r="249" spans="1:44" ht="12.75">
      <c r="A249" s="197"/>
      <c r="B249" s="306"/>
      <c r="C249" s="15"/>
      <c r="D249" s="220"/>
      <c r="E249" s="16"/>
      <c r="F249" s="16"/>
      <c r="G249" s="14"/>
      <c r="H249" s="501"/>
      <c r="I249" s="501"/>
      <c r="J249" s="501"/>
      <c r="K249" s="501"/>
      <c r="L249" s="501"/>
      <c r="M249" s="501"/>
      <c r="N249" s="501"/>
      <c r="O249" s="501"/>
      <c r="P249" s="501"/>
      <c r="Q249" s="501"/>
      <c r="R249" s="501"/>
      <c r="S249" s="501"/>
      <c r="T249" s="501"/>
      <c r="U249" s="501"/>
      <c r="V249" s="501"/>
      <c r="W249" s="501"/>
      <c r="X249" s="501"/>
      <c r="Y249" s="501"/>
      <c r="Z249" s="501"/>
      <c r="AA249" s="501"/>
      <c r="AB249" s="501"/>
      <c r="AC249" s="501"/>
      <c r="AD249" s="501"/>
      <c r="AE249" s="501"/>
      <c r="AF249" s="501"/>
      <c r="AG249" s="501"/>
      <c r="AH249" s="501"/>
      <c r="AI249" s="501"/>
      <c r="AJ249" s="501"/>
      <c r="AK249" s="123"/>
      <c r="AL249" s="426"/>
      <c r="AM249" s="111"/>
      <c r="AN249" s="72"/>
      <c r="AO249" s="72"/>
      <c r="AP249" s="72"/>
      <c r="AQ249" s="72"/>
      <c r="AR249" s="72"/>
    </row>
    <row r="250" spans="1:44" ht="12.75">
      <c r="A250" s="414"/>
      <c r="B250" s="306"/>
      <c r="C250" s="15"/>
      <c r="D250" s="220"/>
      <c r="E250" s="16"/>
      <c r="F250" s="16"/>
      <c r="G250" s="14"/>
      <c r="H250" s="501"/>
      <c r="I250" s="501"/>
      <c r="J250" s="501"/>
      <c r="K250" s="501"/>
      <c r="L250" s="501"/>
      <c r="M250" s="501"/>
      <c r="N250" s="501"/>
      <c r="O250" s="501"/>
      <c r="P250" s="501"/>
      <c r="Q250" s="501"/>
      <c r="R250" s="501"/>
      <c r="S250" s="501"/>
      <c r="T250" s="501"/>
      <c r="U250" s="501"/>
      <c r="V250" s="501"/>
      <c r="W250" s="501"/>
      <c r="X250" s="501"/>
      <c r="Y250" s="501"/>
      <c r="Z250" s="501"/>
      <c r="AA250" s="501"/>
      <c r="AB250" s="501"/>
      <c r="AC250" s="501"/>
      <c r="AD250" s="501"/>
      <c r="AE250" s="501"/>
      <c r="AF250" s="501"/>
      <c r="AG250" s="501"/>
      <c r="AH250" s="501"/>
      <c r="AI250" s="501"/>
      <c r="AJ250" s="501"/>
      <c r="AK250" s="123"/>
      <c r="AL250" s="426"/>
      <c r="AM250" s="111"/>
      <c r="AN250" s="72"/>
      <c r="AO250" s="72"/>
      <c r="AP250" s="72"/>
      <c r="AQ250" s="72"/>
      <c r="AR250" s="72"/>
    </row>
    <row r="251" spans="1:44" ht="12.75">
      <c r="A251" s="197"/>
      <c r="B251" s="306"/>
      <c r="C251" s="15"/>
      <c r="D251" s="220"/>
      <c r="E251" s="16"/>
      <c r="F251" s="16"/>
      <c r="G251" s="14"/>
      <c r="H251" s="501"/>
      <c r="I251" s="501"/>
      <c r="J251" s="501"/>
      <c r="K251" s="501"/>
      <c r="L251" s="501"/>
      <c r="M251" s="501"/>
      <c r="N251" s="501"/>
      <c r="O251" s="501"/>
      <c r="P251" s="501"/>
      <c r="Q251" s="501"/>
      <c r="R251" s="501"/>
      <c r="S251" s="501"/>
      <c r="T251" s="501"/>
      <c r="U251" s="501"/>
      <c r="V251" s="501"/>
      <c r="W251" s="501"/>
      <c r="X251" s="501"/>
      <c r="Y251" s="501"/>
      <c r="Z251" s="501"/>
      <c r="AA251" s="501"/>
      <c r="AB251" s="501"/>
      <c r="AC251" s="501"/>
      <c r="AD251" s="501"/>
      <c r="AE251" s="501"/>
      <c r="AF251" s="501"/>
      <c r="AG251" s="501"/>
      <c r="AH251" s="501"/>
      <c r="AI251" s="501"/>
      <c r="AJ251" s="501"/>
      <c r="AK251" s="123"/>
      <c r="AL251" s="426"/>
      <c r="AM251" s="111"/>
      <c r="AN251" s="72"/>
      <c r="AO251" s="72"/>
      <c r="AP251" s="72"/>
      <c r="AQ251" s="72"/>
      <c r="AR251" s="72"/>
    </row>
    <row r="252" spans="1:44" ht="12.75">
      <c r="A252" s="414"/>
      <c r="B252" s="306"/>
      <c r="C252" s="15"/>
      <c r="D252" s="220"/>
      <c r="E252" s="16"/>
      <c r="F252" s="16"/>
      <c r="G252" s="14"/>
      <c r="H252" s="501"/>
      <c r="I252" s="501"/>
      <c r="J252" s="501"/>
      <c r="K252" s="501"/>
      <c r="L252" s="501"/>
      <c r="M252" s="501"/>
      <c r="N252" s="501"/>
      <c r="O252" s="501"/>
      <c r="P252" s="501"/>
      <c r="Q252" s="501"/>
      <c r="R252" s="501"/>
      <c r="S252" s="501"/>
      <c r="T252" s="501"/>
      <c r="U252" s="501"/>
      <c r="V252" s="501"/>
      <c r="W252" s="501"/>
      <c r="X252" s="501"/>
      <c r="Y252" s="501"/>
      <c r="Z252" s="501"/>
      <c r="AA252" s="501"/>
      <c r="AB252" s="501"/>
      <c r="AC252" s="501"/>
      <c r="AD252" s="501"/>
      <c r="AE252" s="501"/>
      <c r="AF252" s="501"/>
      <c r="AG252" s="501"/>
      <c r="AH252" s="501"/>
      <c r="AI252" s="501"/>
      <c r="AJ252" s="501"/>
      <c r="AK252" s="123"/>
      <c r="AL252" s="426"/>
      <c r="AM252" s="111"/>
      <c r="AN252" s="72"/>
      <c r="AO252" s="72"/>
      <c r="AP252" s="72"/>
      <c r="AQ252" s="72"/>
      <c r="AR252" s="72"/>
    </row>
    <row r="253" spans="1:44" ht="12.75">
      <c r="A253" s="197"/>
      <c r="B253" s="309"/>
      <c r="C253" s="15"/>
      <c r="D253" s="220"/>
      <c r="E253" s="16"/>
      <c r="F253" s="16"/>
      <c r="G253" s="14"/>
      <c r="H253" s="501"/>
      <c r="I253" s="501"/>
      <c r="J253" s="501"/>
      <c r="K253" s="501"/>
      <c r="L253" s="501"/>
      <c r="M253" s="501"/>
      <c r="N253" s="501"/>
      <c r="O253" s="501"/>
      <c r="P253" s="501"/>
      <c r="Q253" s="501"/>
      <c r="R253" s="501"/>
      <c r="S253" s="501"/>
      <c r="T253" s="501"/>
      <c r="U253" s="501"/>
      <c r="V253" s="501"/>
      <c r="W253" s="501"/>
      <c r="X253" s="501"/>
      <c r="Y253" s="501"/>
      <c r="Z253" s="501"/>
      <c r="AA253" s="501"/>
      <c r="AB253" s="501"/>
      <c r="AC253" s="501"/>
      <c r="AD253" s="501"/>
      <c r="AE253" s="501"/>
      <c r="AF253" s="501"/>
      <c r="AG253" s="501"/>
      <c r="AH253" s="501"/>
      <c r="AI253" s="501"/>
      <c r="AJ253" s="501"/>
      <c r="AK253" s="123"/>
      <c r="AL253" s="426"/>
      <c r="AM253" s="111"/>
      <c r="AN253" s="72"/>
      <c r="AO253" s="72"/>
      <c r="AP253" s="72"/>
      <c r="AQ253" s="72"/>
      <c r="AR253" s="72"/>
    </row>
    <row r="254" spans="1:44" ht="12.75">
      <c r="A254" s="414"/>
      <c r="B254" s="309"/>
      <c r="C254" s="15"/>
      <c r="D254" s="220"/>
      <c r="E254" s="16"/>
      <c r="F254" s="16"/>
      <c r="G254" s="14"/>
      <c r="H254" s="501"/>
      <c r="I254" s="501"/>
      <c r="J254" s="501"/>
      <c r="K254" s="501"/>
      <c r="L254" s="501"/>
      <c r="M254" s="501"/>
      <c r="N254" s="501"/>
      <c r="O254" s="501"/>
      <c r="P254" s="501"/>
      <c r="Q254" s="501"/>
      <c r="R254" s="501"/>
      <c r="S254" s="501"/>
      <c r="T254" s="501"/>
      <c r="U254" s="501"/>
      <c r="V254" s="501"/>
      <c r="W254" s="501"/>
      <c r="X254" s="501"/>
      <c r="Y254" s="501"/>
      <c r="Z254" s="501"/>
      <c r="AA254" s="501"/>
      <c r="AB254" s="501"/>
      <c r="AC254" s="501"/>
      <c r="AD254" s="501"/>
      <c r="AE254" s="501"/>
      <c r="AF254" s="501"/>
      <c r="AG254" s="501"/>
      <c r="AH254" s="501"/>
      <c r="AI254" s="501"/>
      <c r="AJ254" s="501"/>
      <c r="AK254" s="123"/>
      <c r="AL254" s="426"/>
      <c r="AM254" s="111"/>
      <c r="AN254" s="72"/>
      <c r="AO254" s="72"/>
      <c r="AP254" s="72"/>
      <c r="AQ254" s="72"/>
      <c r="AR254" s="72"/>
    </row>
    <row r="255" spans="1:44" ht="12.75">
      <c r="A255" s="197"/>
      <c r="B255" s="306"/>
      <c r="C255" s="15"/>
      <c r="D255" s="220"/>
      <c r="E255" s="16"/>
      <c r="F255" s="16"/>
      <c r="G255" s="14"/>
      <c r="H255" s="501"/>
      <c r="I255" s="501"/>
      <c r="J255" s="501"/>
      <c r="K255" s="501"/>
      <c r="L255" s="501"/>
      <c r="M255" s="501"/>
      <c r="N255" s="501"/>
      <c r="O255" s="501"/>
      <c r="P255" s="501"/>
      <c r="Q255" s="501"/>
      <c r="R255" s="501"/>
      <c r="S255" s="501"/>
      <c r="T255" s="501"/>
      <c r="U255" s="501"/>
      <c r="V255" s="501"/>
      <c r="W255" s="501"/>
      <c r="X255" s="501"/>
      <c r="Y255" s="501"/>
      <c r="Z255" s="501"/>
      <c r="AA255" s="501"/>
      <c r="AB255" s="501"/>
      <c r="AC255" s="501"/>
      <c r="AD255" s="501"/>
      <c r="AE255" s="501"/>
      <c r="AF255" s="501"/>
      <c r="AG255" s="501"/>
      <c r="AH255" s="501"/>
      <c r="AI255" s="501"/>
      <c r="AJ255" s="501"/>
      <c r="AK255" s="123"/>
      <c r="AL255" s="426"/>
      <c r="AM255" s="111"/>
      <c r="AN255" s="72"/>
      <c r="AO255" s="72"/>
      <c r="AP255" s="72"/>
      <c r="AQ255" s="72"/>
      <c r="AR255" s="72"/>
    </row>
    <row r="256" spans="1:44" ht="12.75">
      <c r="A256" s="414"/>
      <c r="B256" s="306"/>
      <c r="C256" s="15"/>
      <c r="D256" s="220"/>
      <c r="E256" s="16"/>
      <c r="F256" s="16"/>
      <c r="G256" s="14"/>
      <c r="H256" s="501"/>
      <c r="I256" s="501"/>
      <c r="J256" s="501"/>
      <c r="K256" s="501"/>
      <c r="L256" s="501"/>
      <c r="M256" s="501"/>
      <c r="N256" s="501"/>
      <c r="O256" s="501"/>
      <c r="P256" s="501"/>
      <c r="Q256" s="501"/>
      <c r="R256" s="501"/>
      <c r="S256" s="501"/>
      <c r="T256" s="501"/>
      <c r="U256" s="501"/>
      <c r="V256" s="501"/>
      <c r="W256" s="501"/>
      <c r="X256" s="501"/>
      <c r="Y256" s="501"/>
      <c r="Z256" s="501"/>
      <c r="AA256" s="501"/>
      <c r="AB256" s="501"/>
      <c r="AC256" s="501"/>
      <c r="AD256" s="501"/>
      <c r="AE256" s="501"/>
      <c r="AF256" s="501"/>
      <c r="AG256" s="501"/>
      <c r="AH256" s="501"/>
      <c r="AI256" s="501"/>
      <c r="AJ256" s="501"/>
      <c r="AK256" s="123"/>
      <c r="AL256" s="426"/>
      <c r="AM256" s="111"/>
      <c r="AN256" s="72"/>
      <c r="AO256" s="72"/>
      <c r="AP256" s="72"/>
      <c r="AQ256" s="72"/>
      <c r="AR256" s="72"/>
    </row>
    <row r="257" spans="1:44" ht="12.75">
      <c r="A257" s="197"/>
      <c r="B257" s="306"/>
      <c r="C257" s="15"/>
      <c r="D257" s="220"/>
      <c r="E257" s="16"/>
      <c r="F257" s="16"/>
      <c r="G257" s="14"/>
      <c r="H257" s="501"/>
      <c r="I257" s="501"/>
      <c r="J257" s="501"/>
      <c r="K257" s="501"/>
      <c r="L257" s="501"/>
      <c r="M257" s="501"/>
      <c r="N257" s="501"/>
      <c r="O257" s="501"/>
      <c r="P257" s="501"/>
      <c r="Q257" s="501"/>
      <c r="R257" s="501"/>
      <c r="S257" s="501"/>
      <c r="T257" s="501"/>
      <c r="U257" s="501"/>
      <c r="V257" s="501"/>
      <c r="W257" s="501"/>
      <c r="X257" s="501"/>
      <c r="Y257" s="501"/>
      <c r="Z257" s="501"/>
      <c r="AA257" s="501"/>
      <c r="AB257" s="501"/>
      <c r="AC257" s="501"/>
      <c r="AD257" s="501"/>
      <c r="AE257" s="501"/>
      <c r="AF257" s="501"/>
      <c r="AG257" s="501"/>
      <c r="AH257" s="501"/>
      <c r="AI257" s="501"/>
      <c r="AJ257" s="501"/>
      <c r="AK257" s="357"/>
      <c r="AL257" s="426"/>
      <c r="AM257" s="111"/>
      <c r="AN257" s="72"/>
      <c r="AO257" s="72"/>
      <c r="AP257" s="72"/>
      <c r="AQ257" s="72"/>
      <c r="AR257" s="72"/>
    </row>
    <row r="258" spans="1:44" ht="12.75">
      <c r="A258" s="414"/>
      <c r="B258" s="306"/>
      <c r="C258" s="15"/>
      <c r="D258" s="220"/>
      <c r="E258" s="16"/>
      <c r="F258" s="16"/>
      <c r="G258" s="14"/>
      <c r="H258" s="501"/>
      <c r="I258" s="501"/>
      <c r="J258" s="501"/>
      <c r="K258" s="501"/>
      <c r="L258" s="501"/>
      <c r="M258" s="501"/>
      <c r="N258" s="501"/>
      <c r="O258" s="501"/>
      <c r="P258" s="501"/>
      <c r="Q258" s="501"/>
      <c r="R258" s="501"/>
      <c r="S258" s="501"/>
      <c r="T258" s="501"/>
      <c r="U258" s="501"/>
      <c r="V258" s="501"/>
      <c r="W258" s="501"/>
      <c r="X258" s="501"/>
      <c r="Y258" s="501"/>
      <c r="Z258" s="501"/>
      <c r="AA258" s="501"/>
      <c r="AB258" s="501"/>
      <c r="AC258" s="501"/>
      <c r="AD258" s="501"/>
      <c r="AE258" s="501"/>
      <c r="AF258" s="501"/>
      <c r="AG258" s="501"/>
      <c r="AH258" s="501"/>
      <c r="AI258" s="501"/>
      <c r="AJ258" s="501"/>
      <c r="AK258" s="133"/>
      <c r="AL258" s="426"/>
      <c r="AM258" s="111"/>
      <c r="AN258" s="72"/>
      <c r="AO258" s="72"/>
      <c r="AP258" s="72"/>
      <c r="AQ258" s="72"/>
      <c r="AR258" s="72"/>
    </row>
    <row r="259" spans="1:44" ht="12.75">
      <c r="A259" s="197"/>
      <c r="B259" s="306"/>
      <c r="C259" s="15"/>
      <c r="D259" s="220"/>
      <c r="E259" s="16"/>
      <c r="F259" s="16"/>
      <c r="G259" s="14"/>
      <c r="H259" s="501"/>
      <c r="I259" s="501"/>
      <c r="J259" s="501"/>
      <c r="K259" s="501"/>
      <c r="L259" s="501"/>
      <c r="M259" s="501"/>
      <c r="N259" s="501"/>
      <c r="O259" s="501"/>
      <c r="P259" s="501"/>
      <c r="Q259" s="501"/>
      <c r="R259" s="501"/>
      <c r="S259" s="501"/>
      <c r="T259" s="501"/>
      <c r="U259" s="501"/>
      <c r="V259" s="501"/>
      <c r="W259" s="501"/>
      <c r="X259" s="501"/>
      <c r="Y259" s="501"/>
      <c r="Z259" s="501"/>
      <c r="AA259" s="501"/>
      <c r="AB259" s="501"/>
      <c r="AC259" s="501"/>
      <c r="AD259" s="501"/>
      <c r="AE259" s="501"/>
      <c r="AF259" s="501"/>
      <c r="AG259" s="501"/>
      <c r="AH259" s="501"/>
      <c r="AI259" s="501"/>
      <c r="AJ259" s="501"/>
      <c r="AK259" s="123"/>
      <c r="AL259" s="426"/>
      <c r="AM259" s="111"/>
      <c r="AN259" s="72"/>
      <c r="AO259" s="72"/>
      <c r="AP259" s="72"/>
      <c r="AQ259" s="72"/>
      <c r="AR259" s="72"/>
    </row>
    <row r="260" spans="1:44" ht="12.75">
      <c r="A260" s="414"/>
      <c r="B260" s="306"/>
      <c r="C260" s="15"/>
      <c r="D260" s="220"/>
      <c r="E260" s="16"/>
      <c r="F260" s="16"/>
      <c r="G260" s="14"/>
      <c r="H260" s="501"/>
      <c r="I260" s="501"/>
      <c r="J260" s="501"/>
      <c r="K260" s="501"/>
      <c r="L260" s="501"/>
      <c r="M260" s="501"/>
      <c r="N260" s="501"/>
      <c r="O260" s="501"/>
      <c r="P260" s="501"/>
      <c r="Q260" s="501"/>
      <c r="R260" s="501"/>
      <c r="S260" s="501"/>
      <c r="T260" s="501"/>
      <c r="U260" s="501"/>
      <c r="V260" s="501"/>
      <c r="W260" s="501"/>
      <c r="X260" s="501"/>
      <c r="Y260" s="501"/>
      <c r="Z260" s="501"/>
      <c r="AA260" s="501"/>
      <c r="AB260" s="501"/>
      <c r="AC260" s="501"/>
      <c r="AD260" s="501"/>
      <c r="AE260" s="501"/>
      <c r="AF260" s="501"/>
      <c r="AG260" s="501"/>
      <c r="AH260" s="501"/>
      <c r="AI260" s="501"/>
      <c r="AJ260" s="501"/>
      <c r="AK260" s="123"/>
      <c r="AL260" s="426"/>
      <c r="AM260" s="111"/>
      <c r="AN260" s="72"/>
      <c r="AO260" s="72"/>
      <c r="AP260" s="72"/>
      <c r="AQ260" s="72"/>
      <c r="AR260" s="72"/>
    </row>
    <row r="261" spans="1:44" ht="12.75">
      <c r="A261" s="197"/>
      <c r="B261" s="306"/>
      <c r="C261" s="15"/>
      <c r="D261" s="220"/>
      <c r="E261" s="16"/>
      <c r="F261" s="16"/>
      <c r="G261" s="14"/>
      <c r="H261" s="501"/>
      <c r="I261" s="501"/>
      <c r="J261" s="501"/>
      <c r="K261" s="501"/>
      <c r="L261" s="501"/>
      <c r="M261" s="501"/>
      <c r="N261" s="501"/>
      <c r="O261" s="501"/>
      <c r="P261" s="501"/>
      <c r="Q261" s="501"/>
      <c r="R261" s="501"/>
      <c r="S261" s="501"/>
      <c r="T261" s="501"/>
      <c r="U261" s="501"/>
      <c r="V261" s="501"/>
      <c r="W261" s="501"/>
      <c r="X261" s="501"/>
      <c r="Y261" s="501"/>
      <c r="Z261" s="501"/>
      <c r="AA261" s="501"/>
      <c r="AB261" s="501"/>
      <c r="AC261" s="501"/>
      <c r="AD261" s="501"/>
      <c r="AE261" s="501"/>
      <c r="AF261" s="501"/>
      <c r="AG261" s="501"/>
      <c r="AH261" s="501"/>
      <c r="AI261" s="501"/>
      <c r="AJ261" s="501"/>
      <c r="AK261" s="123"/>
      <c r="AL261" s="426"/>
      <c r="AM261" s="111"/>
      <c r="AN261" s="72"/>
      <c r="AO261" s="72"/>
      <c r="AP261" s="72"/>
      <c r="AQ261" s="72"/>
      <c r="AR261" s="72"/>
    </row>
    <row r="262" spans="1:44" ht="12.75">
      <c r="A262" s="414"/>
      <c r="B262" s="86"/>
      <c r="C262" s="88"/>
      <c r="D262" s="159"/>
      <c r="E262" s="169"/>
      <c r="F262" s="461"/>
      <c r="G262" s="169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462"/>
      <c r="AM262" s="463"/>
      <c r="AN262" s="460"/>
      <c r="AO262" s="460"/>
      <c r="AP262" s="460"/>
      <c r="AQ262" s="460"/>
      <c r="AR262" s="72"/>
    </row>
    <row r="263" ht="12.75">
      <c r="AR263" s="331"/>
    </row>
    <row r="264" ht="12.75">
      <c r="AR264" s="331"/>
    </row>
  </sheetData>
  <printOptions/>
  <pageMargins left="0.75" right="0.75" top="1" bottom="1" header="0.4921259845" footer="0.4921259845"/>
  <pageSetup horizontalDpi="600" verticalDpi="600" orientation="landscape" pageOrder="overThenDown" paperSize="9" scale="83" r:id="rId3"/>
  <rowBreaks count="3" manualBreakCount="3">
    <brk id="34" min="1" max="42" man="1"/>
    <brk id="154" min="1" max="42" man="1"/>
    <brk id="208" min="1" max="42" man="1"/>
  </rowBreaks>
  <ignoredErrors>
    <ignoredError sqref="T19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Lipp</dc:creator>
  <cp:keywords/>
  <dc:description/>
  <cp:lastModifiedBy>Hans Lipp</cp:lastModifiedBy>
  <cp:lastPrinted>2018-01-21T21:28:23Z</cp:lastPrinted>
  <dcterms:created xsi:type="dcterms:W3CDTF">2012-01-16T10:19:17Z</dcterms:created>
  <dcterms:modified xsi:type="dcterms:W3CDTF">2022-03-01T11:24:50Z</dcterms:modified>
  <cp:category/>
  <cp:version/>
  <cp:contentType/>
  <cp:contentStatus/>
</cp:coreProperties>
</file>